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utacppu.sharepoint.com/sites/RSHResearch/RSH  Almanac/2. Canada and the Provinces/Formatted for Upload/"/>
    </mc:Choice>
  </mc:AlternateContent>
  <xr:revisionPtr revIDLastSave="7" documentId="13_ncr:1_{7B357895-0D5F-41F1-806A-18F55E7B5D0C}" xr6:coauthVersionLast="47" xr6:coauthVersionMax="47" xr10:uidLastSave="{C70A599C-E3DD-436B-9041-D1039204DADD}"/>
  <bookViews>
    <workbookView xWindow="-120" yWindow="-120" windowWidth="29040" windowHeight="15840" xr2:uid="{00000000-000D-0000-FFFF-FFFF00000000}"/>
  </bookViews>
  <sheets>
    <sheet name="2,8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1" i="3" l="1"/>
  <c r="U41" i="3"/>
  <c r="U12" i="3"/>
  <c r="T39" i="3"/>
  <c r="U39" i="3" s="1"/>
  <c r="L33" i="3"/>
  <c r="L31" i="3"/>
  <c r="K31" i="3"/>
  <c r="O26" i="3"/>
  <c r="L26" i="3"/>
  <c r="L9" i="3"/>
  <c r="L14" i="3"/>
  <c r="L15" i="3"/>
  <c r="L13" i="3"/>
  <c r="U77" i="3"/>
  <c r="O69" i="3"/>
  <c r="R69" i="3"/>
  <c r="U69" i="3"/>
  <c r="Q101" i="3"/>
  <c r="Q100" i="3"/>
  <c r="Q99" i="3"/>
  <c r="Q98" i="3"/>
  <c r="Q97" i="3"/>
  <c r="Q96" i="3"/>
  <c r="R96" i="3" s="1"/>
  <c r="Q95" i="3"/>
  <c r="R95" i="3"/>
  <c r="Q94" i="3"/>
  <c r="R94" i="3" s="1"/>
  <c r="Q93" i="3"/>
  <c r="R93" i="3" s="1"/>
  <c r="Q92" i="3"/>
  <c r="R92" i="3" s="1"/>
  <c r="Q91" i="3"/>
  <c r="R91" i="3" s="1"/>
  <c r="R101" i="3"/>
  <c r="R100" i="3"/>
  <c r="R99" i="3"/>
  <c r="R98" i="3"/>
  <c r="R97" i="3"/>
  <c r="Q90" i="3"/>
  <c r="R90" i="3" s="1"/>
  <c r="L90" i="3"/>
  <c r="K90" i="3"/>
  <c r="N101" i="3"/>
  <c r="N99" i="3"/>
  <c r="O99" i="3" s="1"/>
  <c r="N98" i="3"/>
  <c r="O98" i="3" s="1"/>
  <c r="N96" i="3"/>
  <c r="O96" i="3" s="1"/>
  <c r="N94" i="3"/>
  <c r="N93" i="3"/>
  <c r="O93" i="3" s="1"/>
  <c r="N92" i="3"/>
  <c r="O92" i="3" s="1"/>
  <c r="N91" i="3"/>
  <c r="O91" i="3" s="1"/>
  <c r="N90" i="3"/>
  <c r="O90" i="3" s="1"/>
  <c r="N100" i="3"/>
  <c r="O100" i="3" s="1"/>
  <c r="N95" i="3"/>
  <c r="O101" i="3"/>
  <c r="O94" i="3"/>
  <c r="O95" i="3"/>
  <c r="N97" i="3"/>
  <c r="O97" i="3" s="1"/>
  <c r="T90" i="3"/>
  <c r="U90" i="3" s="1"/>
  <c r="T91" i="3"/>
  <c r="U91" i="3" s="1"/>
  <c r="T99" i="3"/>
  <c r="U99" i="3" s="1"/>
  <c r="T93" i="3"/>
  <c r="U93" i="3" s="1"/>
  <c r="T101" i="3"/>
  <c r="U101" i="3" s="1"/>
  <c r="T92" i="3"/>
  <c r="U92" i="3" s="1"/>
  <c r="T95" i="3"/>
  <c r="U95" i="3" s="1"/>
  <c r="T100" i="3"/>
  <c r="U100" i="3" s="1"/>
  <c r="T98" i="3"/>
  <c r="U98" i="3" s="1"/>
  <c r="T94" i="3"/>
  <c r="U94" i="3" s="1"/>
  <c r="T96" i="3"/>
  <c r="U96" i="3" s="1"/>
  <c r="T97" i="3"/>
  <c r="U97" i="3" s="1"/>
  <c r="U84" i="3"/>
  <c r="U85" i="3"/>
  <c r="U86" i="3"/>
  <c r="U88" i="3"/>
  <c r="R84" i="3"/>
  <c r="R85" i="3"/>
  <c r="R86" i="3"/>
  <c r="R87" i="3"/>
  <c r="R88" i="3"/>
  <c r="O84" i="3"/>
  <c r="O85" i="3"/>
  <c r="O86" i="3"/>
  <c r="O87" i="3"/>
  <c r="U83" i="3"/>
  <c r="R83" i="3"/>
  <c r="O83" i="3"/>
  <c r="R80" i="3"/>
  <c r="R79" i="3"/>
  <c r="R78" i="3"/>
  <c r="O77" i="3"/>
  <c r="O79" i="3"/>
  <c r="O80" i="3"/>
  <c r="O78" i="3"/>
  <c r="U78" i="3"/>
  <c r="U79" i="3"/>
  <c r="U80" i="3"/>
  <c r="U81" i="3"/>
  <c r="U76" i="3"/>
  <c r="L61" i="3"/>
  <c r="O47" i="3"/>
  <c r="O44" i="3"/>
  <c r="U11" i="3"/>
  <c r="U13" i="3"/>
  <c r="U14" i="3"/>
  <c r="U15" i="3"/>
  <c r="U16" i="3"/>
  <c r="U17" i="3"/>
  <c r="U18" i="3"/>
  <c r="U10" i="3"/>
  <c r="R15" i="3"/>
  <c r="R11" i="3"/>
  <c r="R10" i="3"/>
  <c r="R18" i="3"/>
  <c r="R17" i="3"/>
  <c r="R16" i="3"/>
  <c r="R14" i="3"/>
  <c r="R13" i="3"/>
  <c r="R12" i="3"/>
  <c r="P20" i="3"/>
  <c r="R20" i="3" s="1"/>
  <c r="O11" i="3"/>
  <c r="O12" i="3"/>
  <c r="O13" i="3"/>
  <c r="O14" i="3"/>
  <c r="O15" i="3"/>
  <c r="O16" i="3"/>
  <c r="O17" i="3"/>
  <c r="O18" i="3"/>
  <c r="O10" i="3"/>
  <c r="M20" i="3"/>
  <c r="O20" i="3" s="1"/>
  <c r="R56" i="3"/>
  <c r="R44" i="3"/>
  <c r="R45" i="3"/>
  <c r="R46" i="3"/>
  <c r="R47" i="3"/>
  <c r="R48" i="3"/>
  <c r="R50" i="3"/>
  <c r="R51" i="3"/>
  <c r="R52" i="3"/>
  <c r="R53" i="3"/>
  <c r="R54" i="3"/>
  <c r="R55" i="3"/>
  <c r="R57" i="3"/>
  <c r="R58" i="3"/>
  <c r="R60" i="3"/>
  <c r="R61" i="3"/>
  <c r="R62" i="3"/>
  <c r="R63" i="3"/>
  <c r="R64" i="3"/>
  <c r="R65" i="3"/>
  <c r="R67" i="3"/>
  <c r="R68" i="3"/>
  <c r="R70" i="3"/>
  <c r="R71" i="3"/>
  <c r="R72" i="3"/>
  <c r="R73" i="3"/>
  <c r="R74" i="3"/>
  <c r="R49" i="3"/>
  <c r="O45" i="3"/>
  <c r="O46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70" i="3"/>
  <c r="O71" i="3"/>
  <c r="O72" i="3"/>
  <c r="O73" i="3"/>
  <c r="O7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70" i="3"/>
  <c r="U71" i="3"/>
  <c r="U72" i="3"/>
  <c r="U73" i="3"/>
  <c r="U74" i="3"/>
  <c r="U44" i="3"/>
  <c r="L42" i="3"/>
  <c r="L41" i="3"/>
  <c r="L40" i="3"/>
  <c r="L39" i="3"/>
  <c r="L38" i="3"/>
  <c r="L37" i="3"/>
  <c r="L36" i="3"/>
  <c r="L35" i="3"/>
  <c r="L34" i="3"/>
  <c r="L32" i="3"/>
  <c r="L30" i="3"/>
  <c r="L29" i="3"/>
  <c r="L28" i="3"/>
  <c r="R27" i="3"/>
  <c r="R28" i="3"/>
  <c r="R29" i="3"/>
  <c r="R30" i="3"/>
  <c r="R32" i="3"/>
  <c r="R33" i="3"/>
  <c r="R34" i="3"/>
  <c r="R35" i="3"/>
  <c r="R36" i="3"/>
  <c r="R37" i="3"/>
  <c r="R38" i="3"/>
  <c r="R39" i="3"/>
  <c r="R40" i="3"/>
  <c r="R42" i="3"/>
  <c r="O27" i="3"/>
  <c r="O28" i="3"/>
  <c r="O29" i="3"/>
  <c r="O30" i="3"/>
  <c r="O32" i="3"/>
  <c r="O33" i="3"/>
  <c r="O34" i="3"/>
  <c r="O35" i="3"/>
  <c r="O36" i="3"/>
  <c r="O37" i="3"/>
  <c r="O38" i="3"/>
  <c r="O39" i="3"/>
  <c r="O40" i="3"/>
  <c r="O41" i="3"/>
  <c r="O42" i="3"/>
  <c r="L27" i="3"/>
  <c r="O25" i="3"/>
  <c r="R25" i="3"/>
  <c r="L25" i="3"/>
  <c r="U31" i="3"/>
  <c r="U25" i="3"/>
  <c r="U27" i="3"/>
  <c r="U28" i="3"/>
  <c r="U29" i="3"/>
  <c r="U30" i="3"/>
  <c r="U32" i="3"/>
  <c r="U33" i="3"/>
  <c r="U34" i="3"/>
  <c r="U35" i="3"/>
  <c r="U36" i="3"/>
  <c r="U37" i="3"/>
  <c r="U38" i="3"/>
  <c r="U40" i="3"/>
  <c r="U42" i="3"/>
  <c r="U26" i="3"/>
  <c r="I20" i="3"/>
  <c r="L20" i="3"/>
  <c r="F19" i="3"/>
  <c r="I19" i="3"/>
  <c r="L19" i="3"/>
  <c r="I8" i="3"/>
  <c r="L8" i="3"/>
  <c r="L10" i="3"/>
  <c r="F10" i="3"/>
  <c r="F83" i="3"/>
  <c r="L83" i="3"/>
  <c r="L84" i="3"/>
  <c r="L72" i="3"/>
  <c r="L85" i="3"/>
  <c r="L68" i="3"/>
  <c r="L64" i="3"/>
  <c r="L74" i="3"/>
  <c r="L86" i="3"/>
  <c r="L57" i="3"/>
  <c r="L70" i="3"/>
  <c r="L47" i="3"/>
  <c r="L71" i="3"/>
  <c r="L76" i="3"/>
  <c r="L53" i="3"/>
  <c r="L62" i="3"/>
  <c r="L73" i="3"/>
  <c r="L56" i="3"/>
  <c r="L77" i="3"/>
  <c r="L87" i="3"/>
  <c r="L51" i="3"/>
  <c r="L11" i="3"/>
  <c r="L88" i="3"/>
  <c r="L60" i="3"/>
  <c r="L65" i="3"/>
  <c r="L46" i="3"/>
  <c r="L18" i="3"/>
  <c r="L45" i="3"/>
  <c r="L55" i="3"/>
  <c r="L12" i="3"/>
  <c r="L69" i="3"/>
  <c r="L54" i="3"/>
  <c r="L50" i="3"/>
  <c r="L49" i="3"/>
  <c r="L48" i="3"/>
  <c r="L52" i="3"/>
  <c r="L59" i="3"/>
  <c r="L58" i="3"/>
  <c r="L79" i="3"/>
  <c r="L17" i="3"/>
  <c r="L16" i="3"/>
  <c r="L66" i="3"/>
  <c r="L67" i="3"/>
  <c r="L63" i="3"/>
  <c r="F17" i="3"/>
  <c r="F58" i="3"/>
  <c r="F59" i="3"/>
  <c r="K99" i="3"/>
  <c r="L99" i="3" s="1"/>
  <c r="K93" i="3"/>
  <c r="L93" i="3" s="1"/>
  <c r="K101" i="3"/>
  <c r="L101" i="3" s="1"/>
  <c r="K91" i="3"/>
  <c r="L91" i="3" s="1"/>
  <c r="K92" i="3"/>
  <c r="L92" i="3" s="1"/>
  <c r="K94" i="3"/>
  <c r="L94" i="3" s="1"/>
  <c r="K95" i="3"/>
  <c r="L95" i="3" s="1"/>
  <c r="K96" i="3"/>
  <c r="L96" i="3" s="1"/>
  <c r="K97" i="3"/>
  <c r="L97" i="3" s="1"/>
  <c r="K98" i="3"/>
  <c r="L98" i="3" s="1"/>
  <c r="K100" i="3"/>
  <c r="L100" i="3" s="1"/>
  <c r="F87" i="3"/>
  <c r="F88" i="3"/>
  <c r="F99" i="3"/>
  <c r="F101" i="3"/>
  <c r="F93" i="3"/>
  <c r="F92" i="3"/>
  <c r="F91" i="3"/>
  <c r="F74" i="3"/>
  <c r="F73" i="3"/>
  <c r="F69" i="3"/>
  <c r="F80" i="3"/>
  <c r="F71" i="3"/>
  <c r="F72" i="3"/>
  <c r="F70" i="3"/>
  <c r="F100" i="3"/>
  <c r="F68" i="3"/>
  <c r="F67" i="3"/>
  <c r="F66" i="3"/>
  <c r="F76" i="3"/>
  <c r="F77" i="3"/>
  <c r="F62" i="3"/>
  <c r="F65" i="3"/>
  <c r="F98" i="3"/>
  <c r="F85" i="3"/>
  <c r="F64" i="3"/>
  <c r="F84" i="3"/>
  <c r="F97" i="3"/>
  <c r="F16" i="3"/>
  <c r="F27" i="3"/>
  <c r="F36" i="3"/>
  <c r="F39" i="3"/>
  <c r="F37" i="3"/>
  <c r="F33" i="3"/>
  <c r="F35" i="3"/>
  <c r="F34" i="3"/>
  <c r="F31" i="3"/>
  <c r="F28" i="3"/>
  <c r="F81" i="3"/>
  <c r="F26" i="3"/>
  <c r="F21" i="3"/>
  <c r="F61" i="3"/>
  <c r="F60" i="3"/>
  <c r="F96" i="3"/>
  <c r="F40" i="3"/>
  <c r="F95" i="3"/>
  <c r="F63" i="3"/>
  <c r="F18" i="3"/>
  <c r="F11" i="3"/>
  <c r="F57" i="3"/>
  <c r="F94" i="3"/>
  <c r="F56" i="3"/>
  <c r="F55" i="3"/>
  <c r="F15" i="3"/>
  <c r="F54" i="3"/>
  <c r="F12" i="3"/>
  <c r="F53" i="3"/>
  <c r="F52" i="3"/>
  <c r="F51" i="3"/>
  <c r="F50" i="3"/>
  <c r="F32" i="3"/>
  <c r="F49" i="3"/>
  <c r="F48" i="3"/>
  <c r="F30" i="3"/>
  <c r="F38" i="3"/>
  <c r="F25" i="3"/>
  <c r="F47" i="3"/>
  <c r="F13" i="3"/>
  <c r="F46" i="3"/>
  <c r="F45" i="3"/>
  <c r="F79" i="3"/>
  <c r="F29" i="3"/>
  <c r="F86" i="3"/>
  <c r="F44" i="3"/>
  <c r="J44" i="3" s="1"/>
  <c r="L44" i="3" s="1"/>
  <c r="F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Lachance</author>
    <author>Robert Johnson</author>
  </authors>
  <commentList>
    <comment ref="S8" authorId="0" shapeId="0" xr:uid="{2BCBE6F3-4B6B-49A3-8EAC-100CEC72EACF}">
      <text>
        <r>
          <rPr>
            <sz val="9"/>
            <color indexed="81"/>
            <rFont val="Tahoma"/>
            <family val="2"/>
          </rPr>
          <t xml:space="preserve">New president therefore figure reflects part year salary
</t>
        </r>
      </text>
    </comment>
    <comment ref="C10" authorId="0" shapeId="0" xr:uid="{67B016EE-3151-45CC-94CE-3E4BB0D7BE44}">
      <text>
        <r>
          <rPr>
            <sz val="9"/>
            <color indexed="81"/>
            <rFont val="Tahoma"/>
            <family val="2"/>
          </rPr>
          <t xml:space="preserve">Began his term January 2020.
</t>
        </r>
      </text>
    </comment>
    <comment ref="P10" authorId="0" shapeId="0" xr:uid="{0D0D61F4-E3BD-43C1-BD39-58118C90EAD5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P11" authorId="0" shapeId="0" xr:uid="{7A4E5C1E-AA6F-41C7-A555-02F65749BF61}">
      <text>
        <r>
          <rPr>
            <sz val="9"/>
            <color indexed="81"/>
            <rFont val="Tahoma"/>
            <family val="2"/>
          </rPr>
          <t>severance pay?</t>
        </r>
      </text>
    </comment>
    <comment ref="J13" authorId="0" shapeId="0" xr:uid="{81A08F59-8621-4DD0-8CCF-6C2386451AB6}">
      <text>
        <r>
          <rPr>
            <sz val="9"/>
            <color indexed="81"/>
            <rFont val="Tahoma"/>
            <family val="2"/>
          </rPr>
          <t xml:space="preserve">part year because of dismissal?
</t>
        </r>
      </text>
    </comment>
    <comment ref="J14" authorId="0" shapeId="0" xr:uid="{8F1A4BCB-B359-497B-A7D7-AB925CFA3DE5}">
      <text>
        <r>
          <rPr>
            <b/>
            <sz val="9"/>
            <color indexed="81"/>
            <rFont val="Tahoma"/>
            <family val="2"/>
          </rPr>
          <t>part year new president)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1CFF7036-8518-43C6-948B-C4D7B8566AF7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I17" authorId="0" shapeId="0" xr:uid="{A69C8DEC-583C-4FF2-A079-7F01B868A5B9}">
      <text>
        <r>
          <rPr>
            <sz val="9"/>
            <color indexed="81"/>
            <rFont val="Tahoma"/>
            <family val="2"/>
          </rPr>
          <t>New president as of July 1, 2016; therefore, figure reflects nine months' compensation</t>
        </r>
      </text>
    </comment>
    <comment ref="I19" authorId="1" shapeId="0" xr:uid="{9F4BE6D1-2F78-4EEB-A0F3-12234D2D6BD6}">
      <text>
        <r>
          <rPr>
            <sz val="9"/>
            <color indexed="81"/>
            <rFont val="Tahoma"/>
            <family val="2"/>
          </rPr>
          <t xml:space="preserve">Average of range $424,999 - $499,999 / Salaire moyen de l'échelle $424 999 - $499 999. </t>
        </r>
      </text>
    </comment>
    <comment ref="L19" authorId="1" shapeId="0" xr:uid="{E39FD300-F5BC-4990-982E-5D255032ECBB}">
      <text>
        <r>
          <rPr>
            <sz val="9"/>
            <color indexed="81"/>
            <rFont val="Tahoma"/>
            <family val="2"/>
          </rPr>
          <t xml:space="preserve">Average of range $424,999 - $499,999 / Salaire moyen de l'échelle $424 999 - $499 999. </t>
        </r>
      </text>
    </comment>
    <comment ref="I20" authorId="0" shapeId="0" xr:uid="{5E8F4741-8AAD-46C8-B651-DA7AF0685A34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L20" authorId="0" shapeId="0" xr:uid="{FDEFD2ED-6EF6-4BCE-9872-984C2AA86F06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M20" authorId="0" shapeId="0" xr:uid="{F6B68ACC-C667-4FF5-8BA2-697CB0E2BC49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O20" authorId="0" shapeId="0" xr:uid="{C86CA628-4FC0-4D4A-8309-4390496481D5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P20" authorId="0" shapeId="0" xr:uid="{1C14CCCB-36F2-4968-8935-2B25B07E706D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R20" authorId="0" shapeId="0" xr:uid="{B6F63AE1-E6E8-4153-B571-1E4B9519D196}">
      <text>
        <r>
          <rPr>
            <sz val="9"/>
            <color indexed="81"/>
            <rFont val="Tahoma"/>
            <family val="2"/>
          </rPr>
          <t xml:space="preserve">Average of range $305,000 to $329,000- $499,999 / Salaire moyen de l'échelle $305 000 - $329 999. 
</t>
        </r>
      </text>
    </comment>
    <comment ref="K31" authorId="0" shapeId="0" xr:uid="{E54DE1E4-DCBE-4A13-90F8-AC5C04DDE346}">
      <text>
        <r>
          <rPr>
            <sz val="9"/>
            <color indexed="81"/>
            <rFont val="Tahoma"/>
            <family val="2"/>
          </rPr>
          <t xml:space="preserve">Indemnité de départ
</t>
        </r>
      </text>
    </comment>
    <comment ref="B33" authorId="0" shapeId="0" xr:uid="{017AC866-6175-4FB2-8F67-CD510D7CA764}">
      <text>
        <r>
          <rPr>
            <b/>
            <sz val="9"/>
            <color indexed="81"/>
            <rFont val="Tahoma"/>
            <family val="2"/>
          </rPr>
          <t>when did he leave?</t>
        </r>
      </text>
    </comment>
    <comment ref="P36" authorId="0" shapeId="0" xr:uid="{E4062DA1-9E65-46D6-AEA7-37B23CCD0FCA}">
      <text>
        <r>
          <rPr>
            <sz val="9"/>
            <color indexed="81"/>
            <rFont val="Tahoma"/>
            <family val="2"/>
          </rPr>
          <t xml:space="preserve">New president
</t>
        </r>
      </text>
    </comment>
    <comment ref="J38" authorId="0" shapeId="0" xr:uid="{E2102A75-4D9F-4DAE-9A4F-7D03B523FF25}">
      <text>
        <r>
          <rPr>
            <b/>
            <sz val="9"/>
            <color indexed="81"/>
            <rFont val="Tahoma"/>
            <family val="2"/>
          </rPr>
          <t>Caroline Lachance:</t>
        </r>
        <r>
          <rPr>
            <sz val="9"/>
            <color indexed="81"/>
            <rFont val="Tahoma"/>
            <family val="2"/>
          </rPr>
          <t xml:space="preserve">
11 months</t>
        </r>
      </text>
    </comment>
    <comment ref="T39" authorId="0" shapeId="0" xr:uid="{F5160BDD-A8D2-4BE3-AF7B-E5C4A9C21B3C}">
      <text>
        <r>
          <rPr>
            <sz val="9"/>
            <color indexed="81"/>
            <rFont val="Tahoma"/>
            <family val="2"/>
          </rPr>
          <t>Indemnité de départ</t>
        </r>
      </text>
    </comment>
    <comment ref="T41" authorId="0" shapeId="0" xr:uid="{F6DCBC90-A765-4BBD-BCB7-14EA10CB02E2}">
      <text>
        <r>
          <rPr>
            <sz val="9"/>
            <color indexed="81"/>
            <rFont val="Tahoma"/>
            <family val="2"/>
          </rPr>
          <t>$93,000 performance bonus and $288,980 one-time indemnity.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42" authorId="0" shapeId="0" xr:uid="{BC795218-1B4F-4BE4-878D-17A083497100}">
      <text>
        <r>
          <rPr>
            <sz val="9"/>
            <color indexed="81"/>
            <rFont val="Tahoma"/>
            <family val="2"/>
          </rPr>
          <t xml:space="preserve">new directeur general
</t>
        </r>
      </text>
    </comment>
    <comment ref="M47" authorId="0" shapeId="0" xr:uid="{70BF0C64-6926-462D-B8CE-81FF619158E1}">
      <text>
        <r>
          <rPr>
            <sz val="9"/>
            <color indexed="81"/>
            <rFont val="Tahoma"/>
            <family val="2"/>
          </rPr>
          <t>New president therefore figure reflects part year</t>
        </r>
      </text>
    </comment>
    <comment ref="P50" authorId="0" shapeId="0" xr:uid="{6A7DAA64-C99A-4A8F-862D-1521104917BF}">
      <text>
        <r>
          <rPr>
            <b/>
            <sz val="9"/>
            <color indexed="81"/>
            <rFont val="Tahoma"/>
            <family val="2"/>
          </rPr>
          <t>Part year?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 shapeId="0" xr:uid="{F82D31F6-E89F-46A9-9837-9F79D458A68C}">
      <text>
        <r>
          <rPr>
            <sz val="9"/>
            <color indexed="81"/>
            <rFont val="Tahoma"/>
            <family val="2"/>
          </rPr>
          <t xml:space="preserve">Part-year
</t>
        </r>
      </text>
    </comment>
    <comment ref="S52" authorId="0" shapeId="0" xr:uid="{90785926-0BE9-42C5-883C-330B9B02A420}">
      <text>
        <r>
          <rPr>
            <sz val="9"/>
            <color indexed="81"/>
            <rFont val="Tahoma"/>
            <family val="2"/>
          </rPr>
          <t>part-year</t>
        </r>
      </text>
    </comment>
    <comment ref="P56" authorId="0" shapeId="0" xr:uid="{90BCB920-3072-4A4D-8C4A-167DD78EDFC1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P58" authorId="0" shapeId="0" xr:uid="{96DFD97A-FA27-48A4-8232-8B5A05F9AA21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S58" authorId="0" shapeId="0" xr:uid="{D2F1F687-7CA9-4DA7-99D3-5712D5E9CC52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M65" authorId="0" shapeId="0" xr:uid="{03656CD0-DCEF-419C-9C5C-36D0FB2243F5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S65" authorId="0" shapeId="0" xr:uid="{3CFB001A-7C51-4E8D-9997-CB592ED57196}">
      <text>
        <r>
          <rPr>
            <sz val="9"/>
            <color indexed="81"/>
            <rFont val="Tahoma"/>
            <family val="2"/>
          </rPr>
          <t xml:space="preserve">Partial year
</t>
        </r>
      </text>
    </comment>
    <comment ref="P71" authorId="0" shapeId="0" xr:uid="{2E8DA953-F16A-411E-8AFD-49465CB2508D}">
      <text>
        <r>
          <rPr>
            <sz val="9"/>
            <color indexed="81"/>
            <rFont val="Tahoma"/>
            <family val="2"/>
          </rPr>
          <t>New president therefore figure reflects part year</t>
        </r>
      </text>
    </comment>
    <comment ref="P72" authorId="0" shapeId="0" xr:uid="{F4587715-9672-4A75-A7E1-6280AC053A60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C73" authorId="0" shapeId="0" xr:uid="{F9227AAD-F929-4CFE-A87B-70226949CE02}">
      <text>
        <r>
          <rPr>
            <sz val="9"/>
            <color indexed="81"/>
            <rFont val="Tahoma"/>
            <family val="2"/>
          </rPr>
          <t xml:space="preserve">Began term July 1, 2017. 
</t>
        </r>
      </text>
    </comment>
    <comment ref="S78" authorId="0" shapeId="0" xr:uid="{0FF01813-406B-4C7C-BF75-17CDEA9A0FFD}">
      <text>
        <r>
          <rPr>
            <sz val="9"/>
            <color indexed="81"/>
            <rFont val="Tahoma"/>
            <family val="2"/>
          </rPr>
          <t xml:space="preserve">Part year. New president instated July 1, 2020
</t>
        </r>
      </text>
    </comment>
    <comment ref="M79" authorId="0" shapeId="0" xr:uid="{CFD3FC61-C301-4081-BE0C-4EDA6F2C6E26}">
      <text>
        <r>
          <rPr>
            <sz val="9"/>
            <color indexed="81"/>
            <rFont val="Tahoma"/>
            <family val="2"/>
          </rPr>
          <t xml:space="preserve">Interim president
</t>
        </r>
      </text>
    </comment>
    <comment ref="S80" authorId="0" shapeId="0" xr:uid="{79572EC7-F0CF-41E6-A1C8-C647C0A8B18B}">
      <text>
        <r>
          <rPr>
            <sz val="9"/>
            <color indexed="81"/>
            <rFont val="Tahoma"/>
            <family val="2"/>
          </rPr>
          <t xml:space="preserve">Iterim president therefore figure reflects part year
</t>
        </r>
      </text>
    </comment>
    <comment ref="S81" authorId="0" shapeId="0" xr:uid="{C6F8166F-FEEE-4E9B-8024-4B8FA5BE2388}">
      <text>
        <r>
          <rPr>
            <sz val="9"/>
            <color indexed="81"/>
            <rFont val="Tahoma"/>
            <family val="2"/>
          </rPr>
          <t xml:space="preserve">New president therefore figure reflects part year
</t>
        </r>
      </text>
    </comment>
    <comment ref="S83" authorId="0" shapeId="0" xr:uid="{2AA93624-B876-462F-A931-454D54DCA3E0}">
      <text>
        <r>
          <rPr>
            <sz val="9"/>
            <color indexed="81"/>
            <rFont val="Tahoma"/>
            <family val="2"/>
          </rPr>
          <t xml:space="preserve">New president installed July 2020 therefore figure reflects part year
</t>
        </r>
      </text>
    </comment>
    <comment ref="P87" authorId="0" shapeId="0" xr:uid="{88BA92A0-75CA-4958-BC37-B4656B01EEE6}">
      <text>
        <r>
          <rPr>
            <sz val="9"/>
            <color indexed="81"/>
            <rFont val="Tahoma"/>
            <family val="2"/>
          </rPr>
          <t>New president therefore figure reflects part year</t>
        </r>
      </text>
    </comment>
    <comment ref="M96" authorId="0" shapeId="0" xr:uid="{362BDF3F-1AE6-4B42-88EC-21604F3B4AEB}">
      <text>
        <r>
          <rPr>
            <sz val="9"/>
            <color indexed="81"/>
            <rFont val="Tahoma"/>
            <family val="2"/>
          </rPr>
          <t>New president therefore figure reflects part year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<sst xmlns="http://schemas.openxmlformats.org/spreadsheetml/2006/main" count="562" uniqueCount="255">
  <si>
    <t>University Presidents' Compensation, 2020</t>
  </si>
  <si>
    <t>Rémunération des recteurs d’université, 2020</t>
  </si>
  <si>
    <t>University / Université</t>
  </si>
  <si>
    <t>2016-2017</t>
  </si>
  <si>
    <t>2021-2022</t>
  </si>
  <si>
    <t xml:space="preserve">Presidents in 2017 / 
Recteurs en 2017  </t>
  </si>
  <si>
    <t>Presidents in 2020 / 
Recteurs en 2020</t>
  </si>
  <si>
    <t>Salary / 
Salaire</t>
  </si>
  <si>
    <t>Benefits / Avantages sociaux</t>
  </si>
  <si>
    <t>Total</t>
  </si>
  <si>
    <t>Atlantic Provinces / Provinces de l'Atlantique</t>
  </si>
  <si>
    <t>Memorial University of Newfoundland</t>
  </si>
  <si>
    <t>Gary Kachanoski</t>
  </si>
  <si>
    <t>Vianne Timmons</t>
  </si>
  <si>
    <t>-</t>
  </si>
  <si>
    <t>Atlantic School of Theology</t>
  </si>
  <si>
    <t>Neale S. Bennet</t>
  </si>
  <si>
    <t>Dalhousie University</t>
  </si>
  <si>
    <t>Richard Florizone</t>
  </si>
  <si>
    <t xml:space="preserve">Hargurdeep Saini </t>
  </si>
  <si>
    <t>St. Francis Xavier University</t>
  </si>
  <si>
    <t>Kent Macdonald</t>
  </si>
  <si>
    <t>Andrew Hakin</t>
  </si>
  <si>
    <t>Mount Saint Vincent University</t>
  </si>
  <si>
    <t>Ramona Lumpkin</t>
  </si>
  <si>
    <t>Mary Bluechardt</t>
  </si>
  <si>
    <t>Cape Breton University</t>
  </si>
  <si>
    <t>David Dingwall</t>
  </si>
  <si>
    <t>Acadia University</t>
  </si>
  <si>
    <t>Peter Ricketts</t>
  </si>
  <si>
    <t>NSCAD University</t>
  </si>
  <si>
    <t>Dianne Taylor-Gearing</t>
  </si>
  <si>
    <t>Aoife Mac Namara</t>
  </si>
  <si>
    <t>Université Sainte-Anne</t>
  </si>
  <si>
    <t>Allister Surette</t>
  </si>
  <si>
    <t>University of King's College</t>
  </si>
  <si>
    <t>William Lahey</t>
  </si>
  <si>
    <t xml:space="preserve">Saint Mary's University </t>
  </si>
  <si>
    <t>Robert Summerby-Murray</t>
  </si>
  <si>
    <t xml:space="preserve">University of New Brunswick </t>
  </si>
  <si>
    <t>Eddy Campbell</t>
  </si>
  <si>
    <t>Mount Allison University</t>
  </si>
  <si>
    <t>Jean-Paul Boudreau</t>
  </si>
  <si>
    <t>Université de Moncton</t>
  </si>
  <si>
    <t xml:space="preserve">Yvon Fontaine </t>
  </si>
  <si>
    <t>Denis Prud’homme</t>
  </si>
  <si>
    <t>St. Thomas University</t>
  </si>
  <si>
    <t>Dawn Russell</t>
  </si>
  <si>
    <t>University of Prince Edward Island</t>
  </si>
  <si>
    <t>Alaa Abd-El-Aziz</t>
  </si>
  <si>
    <t>Quebec / Québec (base salary)</t>
  </si>
  <si>
    <t>Base salary</t>
  </si>
  <si>
    <t>Concordia University</t>
  </si>
  <si>
    <t xml:space="preserve">Alan Shepard </t>
  </si>
  <si>
    <t>Graham Carr</t>
  </si>
  <si>
    <t>Université de Montréal</t>
  </si>
  <si>
    <t>Guy Breton</t>
  </si>
  <si>
    <t>Université Laval</t>
  </si>
  <si>
    <t>Denis Brière</t>
  </si>
  <si>
    <t>Sophie D'Amours</t>
  </si>
  <si>
    <t>Université de Sherbrooke</t>
  </si>
  <si>
    <t>Luce Samoisette</t>
  </si>
  <si>
    <t>Pierre Cossette</t>
  </si>
  <si>
    <t>Bishop’s University</t>
  </si>
  <si>
    <t xml:space="preserve">Michael Goldbloom </t>
  </si>
  <si>
    <t>Polytechnique  Montréal</t>
  </si>
  <si>
    <t>Christophe Guy</t>
  </si>
  <si>
    <t xml:space="preserve">Philippe Tanguy </t>
  </si>
  <si>
    <t>Université du Québec</t>
  </si>
  <si>
    <t>Sylvie Beauchamp</t>
  </si>
  <si>
    <t>Johanne Jean</t>
  </si>
  <si>
    <t>Institut national de recherche scientifique</t>
  </si>
  <si>
    <t>Daniel Coderre</t>
  </si>
  <si>
    <t>Luc-Alain Giraldeau</t>
  </si>
  <si>
    <t>Université du Québec à Montréal</t>
  </si>
  <si>
    <t>Robert Proulx</t>
  </si>
  <si>
    <t>Magda Fusaro</t>
  </si>
  <si>
    <t>Université du Québec à Trois-Rivières</t>
  </si>
  <si>
    <t>Nadia Ghazzali</t>
  </si>
  <si>
    <t xml:space="preserve">Daniel McMahon </t>
  </si>
  <si>
    <t>Université du Québec à Chicoutimi</t>
  </si>
  <si>
    <t>Martin Gauthier</t>
  </si>
  <si>
    <t>Nicole Bouchard</t>
  </si>
  <si>
    <t>Université du Québec en Outaouais</t>
  </si>
  <si>
    <t>Jean Vaillancourt</t>
  </si>
  <si>
    <t>Murielle Laberge</t>
  </si>
  <si>
    <t>Université du Québec à Rimouski</t>
  </si>
  <si>
    <t>Jean-Pierre Ouellet</t>
  </si>
  <si>
    <t>École nationale de l'administration publique</t>
  </si>
  <si>
    <t>Nelson Michaud</t>
  </si>
  <si>
    <t>Guy Laforest</t>
  </si>
  <si>
    <t>Université du Québec en Abitibi-Témiscamingue</t>
  </si>
  <si>
    <t>Vincent Rousson</t>
  </si>
  <si>
    <t xml:space="preserve">Télé-Université (TÉLUQ) </t>
  </si>
  <si>
    <t>Ginette Legault</t>
  </si>
  <si>
    <t xml:space="preserve">Lucie Laflamme </t>
  </si>
  <si>
    <t>McGill University</t>
  </si>
  <si>
    <t>Suzanne Fortier</t>
  </si>
  <si>
    <t> $390,000</t>
  </si>
  <si>
    <t xml:space="preserve">École de technologie supérieure </t>
  </si>
  <si>
    <t>Pierre Dumouchel</t>
  </si>
  <si>
    <t xml:space="preserve">François Gagnon </t>
  </si>
  <si>
    <t>Ontario</t>
  </si>
  <si>
    <t>Taxable benefits</t>
  </si>
  <si>
    <t>Algoma University</t>
  </si>
  <si>
    <t>Celia Ross</t>
  </si>
  <si>
    <t>Asima Vezina</t>
  </si>
  <si>
    <t xml:space="preserve">  -   </t>
  </si>
  <si>
    <t>Brescia University College</t>
  </si>
  <si>
    <t>Susan Mumm</t>
  </si>
  <si>
    <t>Brock University</t>
  </si>
  <si>
    <t>Jack Lightstone</t>
  </si>
  <si>
    <t>Gervan Fearon</t>
  </si>
  <si>
    <t>Carleton University</t>
  </si>
  <si>
    <t>Roseann Runte</t>
  </si>
  <si>
    <t>Benoit-Antoine Bacon</t>
  </si>
  <si>
    <t xml:space="preserve">Huntington University </t>
  </si>
  <si>
    <t>Kevin McCormick</t>
  </si>
  <si>
    <t>Kevin Mccormick</t>
  </si>
  <si>
    <t>Huron University College</t>
  </si>
  <si>
    <t>Barry Craig</t>
  </si>
  <si>
    <t>King's University College</t>
  </si>
  <si>
    <t>David Sylvester</t>
  </si>
  <si>
    <t>David Malloy</t>
  </si>
  <si>
    <t>Lakehead University</t>
  </si>
  <si>
    <t>Brian Stevenson</t>
  </si>
  <si>
    <t>Moira Mcpherson</t>
  </si>
  <si>
    <t>Laurentian University / Université Laurentienne</t>
  </si>
  <si>
    <t>Dominic Giroux</t>
  </si>
  <si>
    <t>Robert Haché</t>
  </si>
  <si>
    <t>McMaster University</t>
  </si>
  <si>
    <t>Patrick Deane</t>
  </si>
  <si>
    <t>David H Farrar</t>
  </si>
  <si>
    <t>Nipissing University</t>
  </si>
  <si>
    <t>Michael De Gagne</t>
  </si>
  <si>
    <t>Michael DeGagné</t>
  </si>
  <si>
    <t>OCAD University</t>
  </si>
  <si>
    <t>Sara Diamond</t>
  </si>
  <si>
    <t>Queen’s University at Kingston</t>
  </si>
  <si>
    <t>Daniel R. Woolf</t>
  </si>
  <si>
    <t>Ryerson University</t>
  </si>
  <si>
    <t>Mohamed Lachemi</t>
  </si>
  <si>
    <t>St. Jerome's University</t>
  </si>
  <si>
    <t>Katherine Bergman</t>
  </si>
  <si>
    <t>Peter Meehan</t>
  </si>
  <si>
    <t>Thorneloe University</t>
  </si>
  <si>
    <t>Robert Derrenbacker</t>
  </si>
  <si>
    <t>John Gibaut</t>
  </si>
  <si>
    <t>Trent University</t>
  </si>
  <si>
    <t>Leo Groarke</t>
  </si>
  <si>
    <t>Université de Hearst</t>
  </si>
  <si>
    <t>Pierre Ouellette</t>
  </si>
  <si>
    <t>Luc Bussières</t>
  </si>
  <si>
    <t>Université d'Ottawa / University of Ottawa</t>
  </si>
  <si>
    <t>Allan Rock</t>
  </si>
  <si>
    <t>Jacques Frémont</t>
  </si>
  <si>
    <t>Université Saint-Paul / Saint Paul University</t>
  </si>
  <si>
    <t>Chantal Beauvais</t>
  </si>
  <si>
    <t>University of Guelph</t>
  </si>
  <si>
    <t>Franco Vaccarino</t>
  </si>
  <si>
    <t> Franco Vaccarino</t>
  </si>
  <si>
    <t>University of Ontario Institute of Technology</t>
  </si>
  <si>
    <t>Tim McTiernan</t>
  </si>
  <si>
    <t>Steven Murphy</t>
  </si>
  <si>
    <t>University of St. Michael's College</t>
  </si>
  <si>
    <t>David Mulroney</t>
  </si>
  <si>
    <t>David Silvester</t>
  </si>
  <si>
    <t>University of Sudbury</t>
  </si>
  <si>
    <t>Sophie Bouvard</t>
  </si>
  <si>
    <t>John Meehan</t>
  </si>
  <si>
    <t>University of Toronto</t>
  </si>
  <si>
    <t>Meric Gertler</t>
  </si>
  <si>
    <t>Victoria University</t>
  </si>
  <si>
    <t>William Robins</t>
  </si>
  <si>
    <t>University of Waterloo</t>
  </si>
  <si>
    <t>Feridun Hamdullahpur</t>
  </si>
  <si>
    <t>University of Windsor</t>
  </si>
  <si>
    <t>Alan Wildeman</t>
  </si>
  <si>
    <t>Robert Gordon</t>
  </si>
  <si>
    <t>Western University</t>
  </si>
  <si>
    <t>Amit Chakma</t>
  </si>
  <si>
    <t>Alan Shepard</t>
  </si>
  <si>
    <t>Wilfrid Laurier University</t>
  </si>
  <si>
    <t>Max Blouw</t>
  </si>
  <si>
    <t>Deborah Maclatchy</t>
  </si>
  <si>
    <t>York University</t>
  </si>
  <si>
    <t>Mamdouh Shoukri</t>
  </si>
  <si>
    <t>Rhonda Lenton</t>
  </si>
  <si>
    <t xml:space="preserve">Manitoba / Saskatchewan </t>
  </si>
  <si>
    <t>University of Saskatchewan</t>
  </si>
  <si>
    <t>Peter Stoicheff</t>
  </si>
  <si>
    <t>University of Regina</t>
  </si>
  <si>
    <t>University of Manitoba</t>
  </si>
  <si>
    <t>David Barnard</t>
  </si>
  <si>
    <t>David Bernard</t>
  </si>
  <si>
    <t>Brandon University</t>
  </si>
  <si>
    <t>Steven Robinson</t>
  </si>
  <si>
    <t>David Docherty</t>
  </si>
  <si>
    <t>University of Winnipeg</t>
  </si>
  <si>
    <t>Annette Trimbee</t>
  </si>
  <si>
    <t>James Currie</t>
  </si>
  <si>
    <t>Université de Saint-Boniface</t>
  </si>
  <si>
    <t>Raymonde Gagné</t>
  </si>
  <si>
    <t>Sophie Bouffard</t>
  </si>
  <si>
    <t>Alberta</t>
  </si>
  <si>
    <t>University of Alberta</t>
  </si>
  <si>
    <t>David Turpin</t>
  </si>
  <si>
    <t>William Flanagan</t>
  </si>
  <si>
    <t>University of Calgary</t>
  </si>
  <si>
    <t>Elizabeth Cannon</t>
  </si>
  <si>
    <t>Edward McCauley</t>
  </si>
  <si>
    <t>University of Lethbridge</t>
  </si>
  <si>
    <t>Michael Mahon</t>
  </si>
  <si>
    <t>Athabasca University</t>
  </si>
  <si>
    <t>Neil Fassina</t>
  </si>
  <si>
    <t>MacEwan University</t>
  </si>
  <si>
    <t>Deborah Saucier</t>
  </si>
  <si>
    <t>Mount Royal University</t>
  </si>
  <si>
    <t>Tim Rahilly</t>
  </si>
  <si>
    <t>British Columbia / Columbie-Brittanique</t>
  </si>
  <si>
    <t>British Columbia Institute of Technology</t>
  </si>
  <si>
    <t>Katherine A Kinloch</t>
  </si>
  <si>
    <t>Capilano University</t>
  </si>
  <si>
    <t>Paul Dangerfield</t>
  </si>
  <si>
    <t>Emily Carr University of Art + Design</t>
  </si>
  <si>
    <t>Ronald Burnett</t>
  </si>
  <si>
    <t>Gillian Siddall</t>
  </si>
  <si>
    <t>Kwantlen Polytechnic University</t>
  </si>
  <si>
    <t>Alan Davis</t>
  </si>
  <si>
    <t>Royal Roads University</t>
  </si>
  <si>
    <t>Allan Cahoon</t>
  </si>
  <si>
    <t>Philip Steenkamp</t>
  </si>
  <si>
    <t>Simon Fraser University</t>
  </si>
  <si>
    <t>Andrew Petter</t>
  </si>
  <si>
    <t>Joy Johnson</t>
  </si>
  <si>
    <t>Thompson Rivers University</t>
  </si>
  <si>
    <t>Alan Shaver</t>
  </si>
  <si>
    <t>Brett Fairbairn</t>
  </si>
  <si>
    <t>University of British Columbia</t>
  </si>
  <si>
    <t>Santa J. Ono</t>
  </si>
  <si>
    <t>University of Northern British Columbia</t>
  </si>
  <si>
    <t>Daniel Joseph</t>
  </si>
  <si>
    <t>Geoff Payne</t>
  </si>
  <si>
    <t>University of the Fraser Valley</t>
  </si>
  <si>
    <t xml:space="preserve">Mark Evered </t>
  </si>
  <si>
    <t>Joanne MacLean</t>
  </si>
  <si>
    <t>University of Victoria</t>
  </si>
  <si>
    <t>Jamie Cassels</t>
  </si>
  <si>
    <t>James Cassels</t>
  </si>
  <si>
    <t>Vancouver Island University</t>
  </si>
  <si>
    <t>Ralph Nilson</t>
  </si>
  <si>
    <t>Deborah Saucier,</t>
  </si>
  <si>
    <t xml:space="preserve">Government of Nova Scotia https://beta.novascotia.ca/public-sector-compensation-disclosure-reports 
Governement of Quebec http://www.assnat.qc.ca/en/recherche/recherche-avancee.html
Government of Ontario, Ministry of Finance, Public Sector Salary Disclosure, https://www.ontario.ca/page/public-sector-salary-disclosure;
Government of Manitoba, https://www.gov.mb.ca/openmb/infomb/pscd.html 
Government of Alberta, https://www.alberta.ca/public-sector-body-compensation-disclosure.aspx
Government of British Columbia, https://www2.gov.bc.ca/gov/content/governments/services-for-government/public-sector-management/compensation/executive-compensation-disclosures/disclosure-information-reports
and CAUT Research / </t>
  </si>
  <si>
    <t xml:space="preserve">Gouvernement de la Novelle Ecosse https://beta.novascotia.ca/public-sector-compensation-disclosure-reports 
Gouvernement du Quebec http://www.assnat.qc.ca/en/recherche/recherche-avancee.html
Gouvernement de l'Ontario, Ministry of Finance, Public Sector Salary Disclosure, https://www.ontario.ca/page/public-sector-salary-disclosure;
Gouvernement du Manitoba, https://www.gov.mb.ca/openmb/infomb/pscd.html 
Gouvernement de l'Alberta, https://www.alberta.ca/public-sector-body-compensation-disclosure.aspx
Gouvernement de la Columbie Britanique, https://www2.gov.bc.ca/gov/content/governments/services-for-government/public-sector-management/compensation/executive-compensation-disclosures/disclosure-information-reports
et recherche de l'ACPPU / </t>
  </si>
  <si>
    <t>Updated March 2022 / Actualisé le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</si>
</sst>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&quot;$&quot;#,##0"/>
    <numFmt numFmtId="168" formatCode="&quot;$&quot;#,##0.00"/>
    <numFmt numFmtId="169" formatCode="0.0%"/>
    <numFmt numFmtId="170" formatCode="_-&quot;$&quot;* #,##0_-;\-&quot;$&quot;* #,##0_-;_-&quot;$&quot;* &quot;-&quot;??_-;_-@_-"/>
  </numFmts>
  <fonts count="32">
    <font>
      <sz val="8"/>
      <name val="Arial"/>
    </font>
    <font>
      <b/>
      <sz val="11"/>
      <color indexed="63"/>
      <name val="Calibri"/>
      <family val="2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b/>
      <sz val="18"/>
      <color indexed="8"/>
      <name val="Calibri"/>
      <family val="2"/>
    </font>
    <font>
      <i/>
      <sz val="9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</font>
    <font>
      <u/>
      <sz val="8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</font>
    <font>
      <sz val="10"/>
      <color rgb="FFC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9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167" fontId="13" fillId="3" borderId="0" xfId="0" applyNumberFormat="1" applyFont="1" applyFill="1" applyAlignment="1">
      <alignment horizontal="center"/>
    </xf>
    <xf numFmtId="164" fontId="14" fillId="4" borderId="0" xfId="0" applyNumberFormat="1" applyFont="1" applyFill="1" applyAlignment="1">
      <alignment horizontal="center" vertical="top" wrapText="1"/>
    </xf>
    <xf numFmtId="167" fontId="14" fillId="4" borderId="0" xfId="0" applyNumberFormat="1" applyFont="1" applyFill="1" applyAlignment="1">
      <alignment horizontal="center" vertical="top" wrapText="1"/>
    </xf>
    <xf numFmtId="0" fontId="15" fillId="0" borderId="0" xfId="0" applyFont="1"/>
    <xf numFmtId="0" fontId="3" fillId="0" borderId="0" xfId="0" applyFont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/>
    <xf numFmtId="0" fontId="13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164" fontId="14" fillId="4" borderId="5" xfId="0" applyNumberFormat="1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13" fillId="3" borderId="4" xfId="0" applyFon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67" fontId="13" fillId="3" borderId="4" xfId="0" applyNumberFormat="1" applyFont="1" applyFill="1" applyBorder="1" applyAlignment="1">
      <alignment horizontal="center"/>
    </xf>
    <xf numFmtId="167" fontId="13" fillId="3" borderId="5" xfId="0" applyNumberFormat="1" applyFont="1" applyFill="1" applyBorder="1" applyAlignment="1">
      <alignment horizontal="center"/>
    </xf>
    <xf numFmtId="167" fontId="14" fillId="4" borderId="4" xfId="0" applyNumberFormat="1" applyFont="1" applyFill="1" applyBorder="1" applyAlignment="1">
      <alignment horizontal="center" vertical="top" wrapText="1"/>
    </xf>
    <xf numFmtId="167" fontId="14" fillId="4" borderId="5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164" fontId="17" fillId="0" borderId="4" xfId="0" quotePrefix="1" applyNumberFormat="1" applyFont="1" applyBorder="1" applyAlignment="1">
      <alignment horizontal="center" vertical="top" wrapText="1"/>
    </xf>
    <xf numFmtId="164" fontId="17" fillId="0" borderId="0" xfId="0" quotePrefix="1" applyNumberFormat="1" applyFont="1" applyAlignment="1">
      <alignment horizontal="center" vertical="top" wrapText="1"/>
    </xf>
    <xf numFmtId="164" fontId="17" fillId="0" borderId="5" xfId="0" quotePrefix="1" applyNumberFormat="1" applyFont="1" applyBorder="1" applyAlignment="1">
      <alignment horizontal="center" vertical="top" wrapText="1"/>
    </xf>
    <xf numFmtId="0" fontId="3" fillId="0" borderId="0" xfId="2" applyFont="1" applyAlignment="1" applyProtection="1">
      <alignment horizontal="left"/>
      <protection locked="0"/>
    </xf>
    <xf numFmtId="168" fontId="3" fillId="0" borderId="0" xfId="2" applyNumberFormat="1" applyFont="1" applyAlignment="1" applyProtection="1">
      <alignment horizontal="right"/>
      <protection locked="0"/>
    </xf>
    <xf numFmtId="0" fontId="3" fillId="0" borderId="0" xfId="2" applyFont="1" applyProtection="1">
      <protection locked="0"/>
    </xf>
    <xf numFmtId="0" fontId="3" fillId="0" borderId="0" xfId="2" applyFont="1" applyAlignment="1" applyProtection="1">
      <alignment horizontal="center"/>
      <protection locked="0"/>
    </xf>
    <xf numFmtId="164" fontId="17" fillId="0" borderId="4" xfId="0" applyNumberFormat="1" applyFont="1" applyBorder="1" applyAlignment="1">
      <alignment horizontal="center" wrapText="1"/>
    </xf>
    <xf numFmtId="164" fontId="17" fillId="0" borderId="0" xfId="0" applyNumberFormat="1" applyFont="1" applyAlignment="1">
      <alignment horizontal="right" wrapText="1" indent="3"/>
    </xf>
    <xf numFmtId="164" fontId="17" fillId="0" borderId="5" xfId="0" applyNumberFormat="1" applyFont="1" applyBorder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167" fontId="17" fillId="0" borderId="4" xfId="0" quotePrefix="1" applyNumberFormat="1" applyFont="1" applyBorder="1" applyAlignment="1">
      <alignment horizontal="center" wrapText="1"/>
    </xf>
    <xf numFmtId="167" fontId="17" fillId="0" borderId="0" xfId="0" quotePrefix="1" applyNumberFormat="1" applyFont="1" applyAlignment="1">
      <alignment horizontal="center" vertical="top" wrapText="1"/>
    </xf>
    <xf numFmtId="164" fontId="17" fillId="0" borderId="4" xfId="0" quotePrefix="1" applyNumberFormat="1" applyFont="1" applyBorder="1" applyAlignment="1">
      <alignment horizontal="center" wrapText="1"/>
    </xf>
    <xf numFmtId="170" fontId="17" fillId="0" borderId="5" xfId="4" quotePrefix="1" applyNumberFormat="1" applyFont="1" applyFill="1" applyBorder="1" applyAlignment="1">
      <alignment horizontal="center" vertical="top" wrapText="1"/>
    </xf>
    <xf numFmtId="170" fontId="3" fillId="0" borderId="5" xfId="4" applyNumberFormat="1" applyFont="1" applyFill="1" applyBorder="1" applyAlignment="1">
      <alignment horizontal="center"/>
    </xf>
    <xf numFmtId="164" fontId="18" fillId="0" borderId="5" xfId="0" applyNumberFormat="1" applyFont="1" applyBorder="1" applyAlignment="1">
      <alignment horizontal="center" wrapText="1"/>
    </xf>
    <xf numFmtId="167" fontId="19" fillId="0" borderId="4" xfId="5" applyNumberFormat="1" applyFont="1" applyFill="1" applyBorder="1" applyAlignment="1">
      <alignment horizontal="center"/>
    </xf>
    <xf numFmtId="164" fontId="19" fillId="0" borderId="4" xfId="5" applyNumberFormat="1" applyFont="1" applyFill="1" applyBorder="1" applyAlignment="1">
      <alignment horizontal="center" wrapText="1"/>
    </xf>
    <xf numFmtId="167" fontId="3" fillId="5" borderId="0" xfId="0" applyNumberFormat="1" applyFont="1" applyFill="1" applyAlignment="1">
      <alignment horizontal="center"/>
    </xf>
    <xf numFmtId="167" fontId="3" fillId="5" borderId="4" xfId="0" applyNumberFormat="1" applyFont="1" applyFill="1" applyBorder="1" applyAlignment="1">
      <alignment horizontal="center"/>
    </xf>
    <xf numFmtId="167" fontId="3" fillId="5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167" fontId="3" fillId="0" borderId="4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0" xfId="0" applyFont="1"/>
    <xf numFmtId="164" fontId="3" fillId="0" borderId="4" xfId="0" applyNumberFormat="1" applyFont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19" fillId="0" borderId="0" xfId="5" applyFont="1" applyFill="1" applyBorder="1" applyAlignment="1">
      <alignment wrapText="1"/>
    </xf>
    <xf numFmtId="0" fontId="19" fillId="0" borderId="0" xfId="5" applyFont="1" applyFill="1" applyBorder="1" applyAlignment="1">
      <alignment vertical="center" wrapText="1"/>
    </xf>
    <xf numFmtId="0" fontId="21" fillId="0" borderId="0" xfId="0" applyFont="1"/>
    <xf numFmtId="0" fontId="21" fillId="0" borderId="0" xfId="2" applyFont="1" applyAlignment="1" applyProtection="1">
      <alignment horizontal="left"/>
      <protection locked="0"/>
    </xf>
    <xf numFmtId="0" fontId="21" fillId="0" borderId="0" xfId="2" applyFont="1" applyProtection="1">
      <protection locked="0"/>
    </xf>
    <xf numFmtId="17" fontId="21" fillId="0" borderId="0" xfId="0" applyNumberFormat="1" applyFont="1"/>
    <xf numFmtId="11" fontId="21" fillId="0" borderId="0" xfId="2" applyNumberFormat="1" applyFont="1" applyAlignment="1" applyProtection="1">
      <alignment horizontal="left"/>
      <protection locked="0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7" fontId="14" fillId="0" borderId="0" xfId="0" applyNumberFormat="1" applyFont="1" applyAlignment="1">
      <alignment horizontal="center"/>
    </xf>
    <xf numFmtId="167" fontId="14" fillId="0" borderId="5" xfId="0" applyNumberFormat="1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22" fillId="0" borderId="2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1" fillId="0" borderId="0" xfId="2" applyFont="1" applyAlignment="1" applyProtection="1">
      <alignment horizontal="center"/>
      <protection locked="0"/>
    </xf>
    <xf numFmtId="168" fontId="3" fillId="0" borderId="0" xfId="2" applyNumberFormat="1" applyFont="1" applyAlignment="1" applyProtection="1">
      <alignment horizontal="center"/>
      <protection locked="0"/>
    </xf>
    <xf numFmtId="0" fontId="14" fillId="0" borderId="0" xfId="0" applyFont="1" applyAlignment="1">
      <alignment wrapText="1"/>
    </xf>
    <xf numFmtId="164" fontId="17" fillId="0" borderId="0" xfId="0" applyNumberFormat="1" applyFont="1" applyAlignment="1">
      <alignment horizontal="left" vertical="top" wrapText="1"/>
    </xf>
    <xf numFmtId="167" fontId="17" fillId="0" borderId="0" xfId="0" quotePrefix="1" applyNumberFormat="1" applyFont="1" applyAlignment="1">
      <alignment horizontal="right" wrapText="1" indent="3"/>
    </xf>
    <xf numFmtId="15" fontId="21" fillId="0" borderId="0" xfId="2" applyNumberFormat="1" applyFont="1" applyAlignment="1" applyProtection="1">
      <alignment horizontal="left"/>
      <protection locked="0"/>
    </xf>
    <xf numFmtId="169" fontId="3" fillId="0" borderId="0" xfId="3" applyNumberFormat="1" applyFont="1" applyBorder="1" applyAlignment="1" applyProtection="1">
      <alignment horizontal="left"/>
      <protection locked="0"/>
    </xf>
    <xf numFmtId="167" fontId="17" fillId="0" borderId="4" xfId="0" applyNumberFormat="1" applyFont="1" applyBorder="1" applyAlignment="1">
      <alignment horizontal="center" wrapText="1"/>
    </xf>
    <xf numFmtId="167" fontId="17" fillId="0" borderId="0" xfId="0" applyNumberFormat="1" applyFont="1" applyAlignment="1">
      <alignment horizontal="right" wrapText="1" indent="3"/>
    </xf>
    <xf numFmtId="164" fontId="23" fillId="0" borderId="0" xfId="0" applyNumberFormat="1" applyFont="1"/>
    <xf numFmtId="164" fontId="17" fillId="0" borderId="0" xfId="0" quotePrefix="1" applyNumberFormat="1" applyFont="1" applyAlignment="1">
      <alignment horizontal="right" wrapText="1" indent="3"/>
    </xf>
    <xf numFmtId="164" fontId="21" fillId="0" borderId="0" xfId="2" applyNumberFormat="1" applyFont="1" applyAlignment="1" applyProtection="1">
      <alignment horizontal="left"/>
      <protection locked="0"/>
    </xf>
    <xf numFmtId="164" fontId="14" fillId="0" borderId="4" xfId="0" quotePrefix="1" applyNumberFormat="1" applyFont="1" applyBorder="1" applyAlignment="1">
      <alignment horizontal="center" wrapText="1"/>
    </xf>
    <xf numFmtId="164" fontId="17" fillId="0" borderId="0" xfId="0" quotePrefix="1" applyNumberFormat="1" applyFont="1" applyAlignment="1">
      <alignment horizontal="right" vertical="top" wrapText="1" indent="3"/>
    </xf>
    <xf numFmtId="164" fontId="17" fillId="0" borderId="5" xfId="0" quotePrefix="1" applyNumberFormat="1" applyFont="1" applyBorder="1" applyAlignment="1">
      <alignment horizontal="center" wrapText="1"/>
    </xf>
    <xf numFmtId="164" fontId="17" fillId="0" borderId="0" xfId="0" quotePrefix="1" applyNumberFormat="1" applyFont="1" applyAlignment="1">
      <alignment horizontal="center" wrapText="1"/>
    </xf>
    <xf numFmtId="0" fontId="24" fillId="0" borderId="0" xfId="0" applyFont="1"/>
    <xf numFmtId="164" fontId="17" fillId="0" borderId="4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21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16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64" fontId="17" fillId="0" borderId="0" xfId="0" applyNumberFormat="1" applyFont="1" applyAlignment="1">
      <alignment horizontal="center" vertical="top" wrapText="1"/>
    </xf>
    <xf numFmtId="164" fontId="17" fillId="0" borderId="0" xfId="0" applyNumberFormat="1" applyFont="1" applyAlignment="1">
      <alignment horizontal="right" vertical="top" wrapText="1" indent="3"/>
    </xf>
    <xf numFmtId="164" fontId="17" fillId="0" borderId="5" xfId="0" applyNumberFormat="1" applyFont="1" applyBorder="1" applyAlignment="1">
      <alignment horizontal="center" vertical="top" wrapText="1"/>
    </xf>
    <xf numFmtId="167" fontId="25" fillId="0" borderId="4" xfId="5" applyNumberFormat="1" applyFont="1" applyFill="1" applyBorder="1" applyAlignment="1">
      <alignment horizontal="center"/>
    </xf>
    <xf numFmtId="0" fontId="26" fillId="0" borderId="0" xfId="0" applyFont="1"/>
    <xf numFmtId="0" fontId="19" fillId="0" borderId="0" xfId="5" applyFont="1" applyFill="1" applyBorder="1" applyAlignment="1">
      <alignment horizontal="left" wrapText="1"/>
    </xf>
    <xf numFmtId="165" fontId="21" fillId="0" borderId="0" xfId="0" applyNumberFormat="1" applyFont="1"/>
    <xf numFmtId="164" fontId="19" fillId="0" borderId="4" xfId="5" quotePrefix="1" applyNumberFormat="1" applyFont="1" applyFill="1" applyBorder="1" applyAlignment="1">
      <alignment horizontal="center" wrapText="1"/>
    </xf>
    <xf numFmtId="0" fontId="28" fillId="0" borderId="4" xfId="0" applyFont="1" applyBorder="1"/>
    <xf numFmtId="0" fontId="28" fillId="0" borderId="0" xfId="0" applyFont="1"/>
    <xf numFmtId="0" fontId="28" fillId="0" borderId="5" xfId="0" applyFont="1" applyBorder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vertical="center" wrapText="1"/>
    </xf>
    <xf numFmtId="0" fontId="22" fillId="0" borderId="4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27" fillId="3" borderId="0" xfId="5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22" fillId="0" borderId="0" xfId="0" applyFont="1" applyAlignment="1">
      <alignment wrapText="1"/>
    </xf>
    <xf numFmtId="0" fontId="22" fillId="0" borderId="2" xfId="0" applyFont="1" applyBorder="1" applyAlignment="1">
      <alignment wrapText="1"/>
    </xf>
    <xf numFmtId="0" fontId="13" fillId="3" borderId="3" xfId="0" applyFont="1" applyFill="1" applyBorder="1" applyAlignment="1">
      <alignment horizontal="left"/>
    </xf>
    <xf numFmtId="0" fontId="3" fillId="0" borderId="0" xfId="0" applyFont="1" applyAlignment="1"/>
    <xf numFmtId="0" fontId="3" fillId="0" borderId="5" xfId="0" applyFont="1" applyBorder="1" applyAlignment="1"/>
  </cellXfs>
  <cellStyles count="6">
    <cellStyle name="Currency" xfId="4" builtinId="4"/>
    <cellStyle name="Hyperlink" xfId="5" builtinId="8"/>
    <cellStyle name="Normal" xfId="0" builtinId="0"/>
    <cellStyle name="Normal 2" xfId="2" xr:uid="{00000000-0005-0000-0000-000002000000}"/>
    <cellStyle name="Output" xfId="1" builtinId="21" customBuiltin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212725</xdr:colOff>
      <xdr:row>1</xdr:row>
      <xdr:rowOff>44449</xdr:rowOff>
    </xdr:from>
    <xdr:to>
      <xdr:col>17</xdr:col>
      <xdr:colOff>626875</xdr:colOff>
      <xdr:row>2</xdr:row>
      <xdr:rowOff>130399</xdr:rowOff>
    </xdr:to>
    <xdr:pic>
      <xdr:nvPicPr>
        <xdr:cNvPr id="3" name="Picture 2" descr="AlmanacLogoRGB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225" y="234949"/>
          <a:ext cx="2566800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0</xdr:col>
      <xdr:colOff>638175</xdr:colOff>
      <xdr:row>1</xdr:row>
      <xdr:rowOff>295275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53BA78-7D21-2363-384A-B3A57804C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"/>
          <a:ext cx="514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thabascau.ca/university-secretariat/_documents/board-of-governors/governance-documents/president-contract-2020-2021.pdf" TargetMode="External"/><Relationship Id="rId13" Type="http://schemas.openxmlformats.org/officeDocument/2006/relationships/hyperlink" Target="https://www.athabascau.ca/university-secretariat/_documents/board-of-governors/governance-documents/president-contract-2020-2021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file:///\\fileserver\Users\lachance\Downloads\135-20211130.pdf" TargetMode="External"/><Relationship Id="rId7" Type="http://schemas.openxmlformats.org/officeDocument/2006/relationships/hyperlink" Target="https://www.brandonu.ca/vp-finance/reports/annual-schedule-of-public-sector-compensation-disclosure/" TargetMode="External"/><Relationship Id="rId12" Type="http://schemas.openxmlformats.org/officeDocument/2006/relationships/hyperlink" Target="https://www.ulethbridge.ca/sites/all/modules/custom/uleth_helper/files/mm-contract-202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file:///\\fileserver\Users\lachance\Downloads\137-20211130.pdf" TargetMode="External"/><Relationship Id="rId16" Type="http://schemas.openxmlformats.org/officeDocument/2006/relationships/hyperlink" Target="https://www.stfx.ca/sites/default/files/Contract%20StFX_AWH.pdf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www.mun.ca/president/about/Dr_Timmons_contract-2020.pdf" TargetMode="External"/><Relationship Id="rId6" Type="http://schemas.openxmlformats.org/officeDocument/2006/relationships/hyperlink" Target="https://umanitoba.ca/governance/sites/governance/files/2021-06/university-of-manitoba-compensation-disclosure-report-2020.pdf" TargetMode="External"/><Relationship Id="rId11" Type="http://schemas.openxmlformats.org/officeDocument/2006/relationships/hyperlink" Target="https://www.ucalgary.ca/hr/sites/default/files/compensation_disclosure/2018-McCauley%2CEd.pdf" TargetMode="External"/><Relationship Id="rId5" Type="http://schemas.openxmlformats.org/officeDocument/2006/relationships/hyperlink" Target="https://leadership.usask.ca/documents/president/president-contract-2020-ps-sb-cw-signed.pdf" TargetMode="External"/><Relationship Id="rId15" Type="http://schemas.openxmlformats.org/officeDocument/2006/relationships/hyperlink" Target="https://www.ucalgary.ca/hr/sites/default/files/compensation_disclosure/2014-Cannon%2CMargaret%20Elizabeth.pdf" TargetMode="External"/><Relationship Id="rId10" Type="http://schemas.openxmlformats.org/officeDocument/2006/relationships/hyperlink" Target="https://cdn.mtroyal.ca/p/disc/pdf/Contract_Employment_Docherty_D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file:///\\fileserver\Users\lachance\Downloads\134-20211130.pdf" TargetMode="External"/><Relationship Id="rId9" Type="http://schemas.openxmlformats.org/officeDocument/2006/relationships/hyperlink" Target="https://www.athabascau.ca/finance/_documents/2017-05-11_questionandanswersheet.pdf" TargetMode="External"/><Relationship Id="rId14" Type="http://schemas.openxmlformats.org/officeDocument/2006/relationships/hyperlink" Target="https://www.mtroyal.ca/EmploymentCareers/HumanResources/_pdfs/psct_contract_employment_rahilly_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AS107"/>
  <sheetViews>
    <sheetView tabSelected="1" zoomScaleNormal="100" workbookViewId="0">
      <selection activeCell="A9" sqref="A9"/>
    </sheetView>
  </sheetViews>
  <sheetFormatPr defaultColWidth="34" defaultRowHeight="15" customHeight="1"/>
  <cols>
    <col min="1" max="1" width="48.5" style="1" customWidth="1"/>
    <col min="2" max="2" width="24.6640625" style="1" hidden="1" customWidth="1"/>
    <col min="3" max="3" width="24.6640625" style="1" customWidth="1"/>
    <col min="4" max="4" width="18.83203125" style="16" customWidth="1"/>
    <col min="5" max="5" width="18.83203125" style="1" customWidth="1"/>
    <col min="6" max="6" width="18.83203125" style="17" customWidth="1"/>
    <col min="7" max="9" width="18.83203125" style="1" hidden="1" customWidth="1"/>
    <col min="10" max="10" width="19.5" style="16" customWidth="1"/>
    <col min="11" max="11" width="18.83203125" style="1" customWidth="1"/>
    <col min="12" max="12" width="18.83203125" style="17" customWidth="1"/>
    <col min="13" max="13" width="18.83203125" style="16" customWidth="1"/>
    <col min="14" max="14" width="18.83203125" style="1" customWidth="1"/>
    <col min="15" max="15" width="18.83203125" style="17" customWidth="1"/>
    <col min="16" max="16" width="18.83203125" style="16" customWidth="1"/>
    <col min="17" max="17" width="18.83203125" style="1" customWidth="1"/>
    <col min="18" max="18" width="18.83203125" style="17" customWidth="1"/>
    <col min="19" max="19" width="18.83203125" style="16" customWidth="1"/>
    <col min="20" max="20" width="18.83203125" style="1" customWidth="1"/>
    <col min="21" max="21" width="18.83203125" style="17" customWidth="1"/>
    <col min="22" max="22" width="18.83203125" style="16" hidden="1" customWidth="1"/>
    <col min="23" max="23" width="18.83203125" style="1" hidden="1" customWidth="1"/>
    <col min="24" max="24" width="18.83203125" style="17" hidden="1" customWidth="1"/>
    <col min="25" max="25" width="17.5" style="68" customWidth="1"/>
    <col min="26" max="27" width="17.5" style="1" customWidth="1"/>
    <col min="28" max="30" width="34" style="1"/>
    <col min="32" max="16384" width="34" style="1"/>
  </cols>
  <sheetData>
    <row r="2" spans="1:31" ht="32.1" customHeight="1">
      <c r="A2"/>
    </row>
    <row r="3" spans="1:31" ht="21.95" customHeight="1">
      <c r="A3" s="6" t="s">
        <v>0</v>
      </c>
      <c r="B3" s="3"/>
      <c r="C3" s="3"/>
      <c r="D3" s="18"/>
      <c r="E3" s="4"/>
      <c r="F3" s="19"/>
      <c r="G3" s="4"/>
      <c r="H3" s="4"/>
      <c r="I3" s="4"/>
      <c r="J3" s="18"/>
      <c r="K3" s="4"/>
      <c r="L3" s="19"/>
    </row>
    <row r="4" spans="1:31" ht="21.95" customHeight="1">
      <c r="A4" s="6" t="s">
        <v>1</v>
      </c>
      <c r="B4" s="5"/>
      <c r="C4" s="5"/>
      <c r="D4" s="20"/>
      <c r="E4" s="4"/>
      <c r="F4" s="19"/>
      <c r="G4" s="4"/>
      <c r="H4" s="4"/>
      <c r="I4" s="4"/>
      <c r="J4" s="20"/>
      <c r="K4" s="4"/>
      <c r="L4" s="19"/>
      <c r="M4" s="26"/>
      <c r="N4" s="2"/>
      <c r="O4" s="27"/>
      <c r="P4" s="26"/>
      <c r="Q4" s="2"/>
      <c r="R4" s="27"/>
      <c r="S4" s="26"/>
      <c r="T4" s="2"/>
      <c r="U4" s="27"/>
      <c r="V4" s="26"/>
      <c r="W4" s="2"/>
      <c r="X4" s="27"/>
    </row>
    <row r="5" spans="1:31" ht="15" customHeight="1">
      <c r="A5" s="125" t="s">
        <v>2</v>
      </c>
      <c r="B5" s="77"/>
      <c r="C5" s="77"/>
      <c r="D5" s="120">
        <v>2013</v>
      </c>
      <c r="E5" s="121"/>
      <c r="F5" s="122"/>
      <c r="G5" s="120" t="s">
        <v>3</v>
      </c>
      <c r="H5" s="121"/>
      <c r="I5" s="122"/>
      <c r="J5" s="120">
        <v>2017</v>
      </c>
      <c r="K5" s="121"/>
      <c r="L5" s="122"/>
      <c r="M5" s="120">
        <v>2018</v>
      </c>
      <c r="N5" s="121"/>
      <c r="O5" s="122"/>
      <c r="P5" s="120">
        <v>2019</v>
      </c>
      <c r="Q5" s="121"/>
      <c r="R5" s="122"/>
      <c r="S5" s="120">
        <v>2020</v>
      </c>
      <c r="T5" s="121"/>
      <c r="U5" s="122"/>
      <c r="V5" s="120" t="s">
        <v>4</v>
      </c>
      <c r="W5" s="121"/>
      <c r="X5" s="122"/>
      <c r="AE5" s="1"/>
    </row>
    <row r="6" spans="1:31" s="9" customFormat="1" ht="24" customHeight="1">
      <c r="A6" s="126"/>
      <c r="B6" s="78" t="s">
        <v>5</v>
      </c>
      <c r="C6" s="78" t="s">
        <v>6</v>
      </c>
      <c r="D6" s="79" t="s">
        <v>7</v>
      </c>
      <c r="E6" s="78" t="s">
        <v>8</v>
      </c>
      <c r="F6" s="80" t="s">
        <v>9</v>
      </c>
      <c r="G6" s="79" t="s">
        <v>7</v>
      </c>
      <c r="H6" s="78" t="s">
        <v>8</v>
      </c>
      <c r="I6" s="80" t="s">
        <v>9</v>
      </c>
      <c r="J6" s="79" t="s">
        <v>7</v>
      </c>
      <c r="K6" s="78" t="s">
        <v>8</v>
      </c>
      <c r="L6" s="80" t="s">
        <v>9</v>
      </c>
      <c r="M6" s="79" t="s">
        <v>7</v>
      </c>
      <c r="N6" s="78" t="s">
        <v>8</v>
      </c>
      <c r="O6" s="80" t="s">
        <v>9</v>
      </c>
      <c r="P6" s="79" t="s">
        <v>7</v>
      </c>
      <c r="Q6" s="78" t="s">
        <v>8</v>
      </c>
      <c r="R6" s="80" t="s">
        <v>9</v>
      </c>
      <c r="S6" s="79" t="s">
        <v>7</v>
      </c>
      <c r="T6" s="78" t="s">
        <v>8</v>
      </c>
      <c r="U6" s="80" t="s">
        <v>9</v>
      </c>
      <c r="V6" s="79" t="s">
        <v>7</v>
      </c>
      <c r="W6" s="78" t="s">
        <v>8</v>
      </c>
      <c r="X6" s="80" t="s">
        <v>9</v>
      </c>
      <c r="Y6" s="81"/>
      <c r="Z6" s="42"/>
      <c r="AA6" s="82"/>
      <c r="AB6" s="82"/>
      <c r="AC6" s="42"/>
      <c r="AD6" s="42"/>
    </row>
    <row r="7" spans="1:31" ht="15" customHeight="1">
      <c r="A7" s="127" t="s">
        <v>10</v>
      </c>
      <c r="B7" s="127"/>
      <c r="C7" s="127"/>
      <c r="D7" s="127"/>
      <c r="E7" s="127"/>
      <c r="F7" s="21"/>
      <c r="G7" s="10"/>
      <c r="H7" s="10"/>
      <c r="I7" s="10"/>
      <c r="J7" s="10"/>
      <c r="K7" s="10"/>
      <c r="L7" s="21"/>
      <c r="M7" s="28"/>
      <c r="N7" s="10"/>
      <c r="O7" s="21"/>
      <c r="P7" s="28"/>
      <c r="Q7" s="10"/>
      <c r="R7" s="21"/>
      <c r="S7" s="28"/>
      <c r="T7" s="10"/>
      <c r="U7" s="21"/>
      <c r="V7" s="28"/>
      <c r="W7" s="10"/>
      <c r="X7" s="21"/>
      <c r="AE7" s="1"/>
    </row>
    <row r="8" spans="1:31" ht="15" customHeight="1">
      <c r="A8" s="34" t="s">
        <v>11</v>
      </c>
      <c r="B8" s="35" t="s">
        <v>12</v>
      </c>
      <c r="C8" s="35" t="s">
        <v>13</v>
      </c>
      <c r="D8" s="36" t="s">
        <v>14</v>
      </c>
      <c r="E8" s="37" t="s">
        <v>14</v>
      </c>
      <c r="F8" s="38" t="s">
        <v>14</v>
      </c>
      <c r="G8" s="36">
        <v>469200</v>
      </c>
      <c r="H8" s="37">
        <v>100</v>
      </c>
      <c r="I8" s="50">
        <f>SUM(G8:H8)</f>
        <v>469300</v>
      </c>
      <c r="J8" s="36">
        <v>469200</v>
      </c>
      <c r="K8" s="37">
        <v>100</v>
      </c>
      <c r="L8" s="45">
        <f>SUM(J8:K8)</f>
        <v>469300</v>
      </c>
      <c r="M8" s="36">
        <v>469200</v>
      </c>
      <c r="N8" s="37">
        <v>100</v>
      </c>
      <c r="O8" s="45">
        <v>469300</v>
      </c>
      <c r="P8" s="24">
        <v>481700</v>
      </c>
      <c r="Q8" s="8">
        <v>100</v>
      </c>
      <c r="R8" s="45">
        <v>481800</v>
      </c>
      <c r="S8" s="109">
        <v>342700</v>
      </c>
      <c r="T8" s="8">
        <v>100</v>
      </c>
      <c r="U8" s="45">
        <v>342800</v>
      </c>
      <c r="V8" s="24"/>
      <c r="W8" s="8"/>
      <c r="X8" s="29"/>
      <c r="Y8" s="69"/>
      <c r="Z8" s="39"/>
      <c r="AA8" s="40"/>
      <c r="AB8" s="40"/>
      <c r="AC8" s="41"/>
      <c r="AD8" s="42"/>
      <c r="AE8" s="1"/>
    </row>
    <row r="9" spans="1:31" ht="15" customHeight="1">
      <c r="A9" s="74" t="s">
        <v>15</v>
      </c>
      <c r="B9" s="35"/>
      <c r="C9" s="110" t="s">
        <v>16</v>
      </c>
      <c r="D9" s="36" t="s">
        <v>14</v>
      </c>
      <c r="E9" s="37" t="s">
        <v>14</v>
      </c>
      <c r="F9" s="38" t="s">
        <v>14</v>
      </c>
      <c r="G9" s="37" t="s">
        <v>14</v>
      </c>
      <c r="H9" s="37" t="s">
        <v>14</v>
      </c>
      <c r="I9" s="45">
        <v>137012</v>
      </c>
      <c r="J9" s="36">
        <v>136698</v>
      </c>
      <c r="K9" s="37" t="s">
        <v>14</v>
      </c>
      <c r="L9" s="45">
        <f>SUM(J9:K9)</f>
        <v>136698</v>
      </c>
      <c r="M9" s="36">
        <v>136644</v>
      </c>
      <c r="N9" s="37" t="s">
        <v>14</v>
      </c>
      <c r="O9" s="45">
        <v>469300</v>
      </c>
      <c r="P9" s="24">
        <v>135690</v>
      </c>
      <c r="Q9" s="37" t="s">
        <v>14</v>
      </c>
      <c r="R9" s="45">
        <v>481800</v>
      </c>
      <c r="S9" s="43">
        <v>145873</v>
      </c>
      <c r="T9" s="37" t="s">
        <v>14</v>
      </c>
      <c r="U9" s="45">
        <v>342800</v>
      </c>
      <c r="V9" s="56"/>
      <c r="W9" s="55"/>
      <c r="X9" s="57"/>
      <c r="Y9" s="69"/>
      <c r="Z9" s="39"/>
      <c r="AA9" s="40"/>
      <c r="AB9" s="40"/>
      <c r="AC9" s="41"/>
      <c r="AD9" s="42"/>
      <c r="AE9" s="1"/>
    </row>
    <row r="10" spans="1:31" ht="15" customHeight="1">
      <c r="A10" s="34" t="s">
        <v>17</v>
      </c>
      <c r="B10" s="35" t="s">
        <v>18</v>
      </c>
      <c r="C10" s="35" t="s">
        <v>19</v>
      </c>
      <c r="D10" s="43">
        <v>389400</v>
      </c>
      <c r="E10" s="44">
        <v>37377</v>
      </c>
      <c r="F10" s="45">
        <f t="shared" ref="F10:F18" si="0">SUM(D10:E10)</f>
        <v>426777</v>
      </c>
      <c r="G10" s="37" t="s">
        <v>14</v>
      </c>
      <c r="H10" s="37" t="s">
        <v>14</v>
      </c>
      <c r="I10" s="45">
        <v>436058</v>
      </c>
      <c r="J10" s="43">
        <v>483115</v>
      </c>
      <c r="K10" s="37" t="s">
        <v>14</v>
      </c>
      <c r="L10" s="45">
        <f t="shared" ref="L10" si="1">SUM(J10:K10)</f>
        <v>483115</v>
      </c>
      <c r="M10" s="43">
        <v>489099</v>
      </c>
      <c r="N10" s="37" t="s">
        <v>14</v>
      </c>
      <c r="O10" s="45">
        <f>SUM(M10:N10)</f>
        <v>489099</v>
      </c>
      <c r="P10" s="64">
        <v>313242</v>
      </c>
      <c r="Q10" s="37" t="s">
        <v>14</v>
      </c>
      <c r="R10" s="45">
        <f>P10</f>
        <v>313242</v>
      </c>
      <c r="S10" s="43">
        <v>492001</v>
      </c>
      <c r="T10" s="37" t="s">
        <v>14</v>
      </c>
      <c r="U10" s="45">
        <f>SUM(S10:T10)</f>
        <v>492001</v>
      </c>
      <c r="V10" s="24"/>
      <c r="W10" s="8"/>
      <c r="X10" s="29"/>
      <c r="Y10" s="69"/>
      <c r="Z10" s="39"/>
      <c r="AA10" s="40"/>
      <c r="AB10" s="40"/>
      <c r="AC10" s="41"/>
      <c r="AD10" s="42"/>
      <c r="AE10" s="1"/>
    </row>
    <row r="11" spans="1:31" ht="15" customHeight="1">
      <c r="A11" s="34" t="s">
        <v>20</v>
      </c>
      <c r="B11" s="35" t="s">
        <v>21</v>
      </c>
      <c r="C11" s="111" t="s">
        <v>22</v>
      </c>
      <c r="D11" s="43">
        <v>278281</v>
      </c>
      <c r="E11" s="44">
        <v>9237</v>
      </c>
      <c r="F11" s="45">
        <f t="shared" si="0"/>
        <v>287518</v>
      </c>
      <c r="G11" s="37" t="s">
        <v>14</v>
      </c>
      <c r="H11" s="37" t="s">
        <v>14</v>
      </c>
      <c r="I11" s="45">
        <v>363266</v>
      </c>
      <c r="J11" s="43">
        <v>352481</v>
      </c>
      <c r="K11" s="37" t="s">
        <v>14</v>
      </c>
      <c r="L11" s="45">
        <f>SUM(J11:K11)</f>
        <v>352481</v>
      </c>
      <c r="M11" s="43">
        <v>359328</v>
      </c>
      <c r="N11" s="37" t="s">
        <v>14</v>
      </c>
      <c r="O11" s="45">
        <f t="shared" ref="O11:O20" si="2">SUM(M11:N11)</f>
        <v>359328</v>
      </c>
      <c r="P11" s="73">
        <v>585077</v>
      </c>
      <c r="Q11" s="37" t="s">
        <v>14</v>
      </c>
      <c r="R11" s="45">
        <f>P11</f>
        <v>585077</v>
      </c>
      <c r="S11" s="43">
        <v>325000</v>
      </c>
      <c r="T11" s="37" t="s">
        <v>14</v>
      </c>
      <c r="U11" s="45">
        <f t="shared" ref="U11:U18" si="3">SUM(S11:T11)</f>
        <v>325000</v>
      </c>
      <c r="V11" s="24"/>
      <c r="W11" s="8"/>
      <c r="X11" s="29"/>
      <c r="Y11" s="69"/>
      <c r="Z11" s="39"/>
      <c r="AA11" s="40"/>
      <c r="AB11" s="40"/>
      <c r="AC11" s="41"/>
      <c r="AD11" s="42"/>
      <c r="AE11" s="1"/>
    </row>
    <row r="12" spans="1:31" ht="15" customHeight="1">
      <c r="A12" s="58" t="s">
        <v>23</v>
      </c>
      <c r="B12" s="35" t="s">
        <v>24</v>
      </c>
      <c r="C12" s="35" t="s">
        <v>25</v>
      </c>
      <c r="D12" s="43">
        <v>224000</v>
      </c>
      <c r="E12" s="44">
        <v>15000</v>
      </c>
      <c r="F12" s="45">
        <f t="shared" si="0"/>
        <v>239000</v>
      </c>
      <c r="G12" s="37" t="s">
        <v>14</v>
      </c>
      <c r="H12" s="37" t="s">
        <v>14</v>
      </c>
      <c r="I12" s="45">
        <v>289808</v>
      </c>
      <c r="J12" s="43">
        <v>281820</v>
      </c>
      <c r="K12" s="37" t="s">
        <v>14</v>
      </c>
      <c r="L12" s="45">
        <f>SUM(J12:K12)</f>
        <v>281820</v>
      </c>
      <c r="M12" s="43">
        <v>275000</v>
      </c>
      <c r="N12" s="37" t="s">
        <v>14</v>
      </c>
      <c r="O12" s="45">
        <f t="shared" si="2"/>
        <v>275000</v>
      </c>
      <c r="P12" s="43">
        <v>285001</v>
      </c>
      <c r="Q12" s="37" t="s">
        <v>14</v>
      </c>
      <c r="R12" s="45">
        <f t="shared" ref="R12:R20" si="4">SUM(P12:Q12)</f>
        <v>285001</v>
      </c>
      <c r="S12" s="43">
        <v>285001</v>
      </c>
      <c r="T12" s="37"/>
      <c r="U12" s="45">
        <f t="shared" si="3"/>
        <v>285001</v>
      </c>
      <c r="V12" s="24"/>
      <c r="W12" s="8"/>
      <c r="X12" s="29"/>
      <c r="Y12" s="70"/>
      <c r="Z12" s="42"/>
      <c r="AE12" s="1"/>
    </row>
    <row r="13" spans="1:31" ht="15" customHeight="1">
      <c r="A13" s="34" t="s">
        <v>26</v>
      </c>
      <c r="B13" s="35" t="s">
        <v>27</v>
      </c>
      <c r="C13" s="35" t="s">
        <v>27</v>
      </c>
      <c r="D13" s="43">
        <v>174331</v>
      </c>
      <c r="E13" s="44">
        <v>31292</v>
      </c>
      <c r="F13" s="45">
        <f t="shared" si="0"/>
        <v>205623</v>
      </c>
      <c r="G13" s="37" t="s">
        <v>14</v>
      </c>
      <c r="H13" s="37" t="s">
        <v>14</v>
      </c>
      <c r="I13" s="45">
        <v>356761</v>
      </c>
      <c r="J13" s="43">
        <v>262000</v>
      </c>
      <c r="K13" s="37" t="s">
        <v>14</v>
      </c>
      <c r="L13" s="45">
        <f>SUM(J13:K13)</f>
        <v>262000</v>
      </c>
      <c r="M13" s="43">
        <v>294050</v>
      </c>
      <c r="N13" s="37" t="s">
        <v>14</v>
      </c>
      <c r="O13" s="45">
        <f t="shared" si="2"/>
        <v>294050</v>
      </c>
      <c r="P13" s="43">
        <v>295799</v>
      </c>
      <c r="Q13" s="37" t="s">
        <v>14</v>
      </c>
      <c r="R13" s="45">
        <f t="shared" si="4"/>
        <v>295799</v>
      </c>
      <c r="S13" s="43">
        <v>350000</v>
      </c>
      <c r="T13" s="46">
        <v>90000</v>
      </c>
      <c r="U13" s="45">
        <f t="shared" si="3"/>
        <v>440000</v>
      </c>
      <c r="V13" s="24"/>
      <c r="W13" s="8"/>
      <c r="X13" s="29"/>
      <c r="Y13" s="69"/>
      <c r="Z13" s="39"/>
      <c r="AA13" s="40"/>
      <c r="AB13" s="40"/>
      <c r="AC13" s="41"/>
      <c r="AD13" s="42"/>
      <c r="AE13" s="1"/>
    </row>
    <row r="14" spans="1:31" ht="15" customHeight="1">
      <c r="A14" s="34" t="s">
        <v>28</v>
      </c>
      <c r="B14" s="35" t="s">
        <v>29</v>
      </c>
      <c r="C14" s="35" t="s">
        <v>29</v>
      </c>
      <c r="D14" s="43">
        <v>274000</v>
      </c>
      <c r="E14" s="37" t="s">
        <v>14</v>
      </c>
      <c r="F14" s="45">
        <f t="shared" si="0"/>
        <v>274000</v>
      </c>
      <c r="G14" s="37" t="s">
        <v>14</v>
      </c>
      <c r="H14" s="37" t="s">
        <v>14</v>
      </c>
      <c r="I14" s="45">
        <v>293807</v>
      </c>
      <c r="J14" s="43">
        <v>248552</v>
      </c>
      <c r="K14" s="37" t="s">
        <v>14</v>
      </c>
      <c r="L14" s="45">
        <f t="shared" ref="L14:L15" si="5">SUM(J14:K14)</f>
        <v>248552</v>
      </c>
      <c r="M14" s="43">
        <v>342923</v>
      </c>
      <c r="N14" s="37" t="s">
        <v>14</v>
      </c>
      <c r="O14" s="45">
        <f t="shared" si="2"/>
        <v>342923</v>
      </c>
      <c r="P14" s="43">
        <v>347410</v>
      </c>
      <c r="Q14" s="37" t="s">
        <v>14</v>
      </c>
      <c r="R14" s="45">
        <f t="shared" si="4"/>
        <v>347410</v>
      </c>
      <c r="S14" s="43">
        <v>341305</v>
      </c>
      <c r="T14" s="37" t="s">
        <v>14</v>
      </c>
      <c r="U14" s="45">
        <f t="shared" si="3"/>
        <v>341305</v>
      </c>
      <c r="V14" s="24"/>
      <c r="W14" s="8"/>
      <c r="X14" s="29"/>
      <c r="AE14" s="1"/>
    </row>
    <row r="15" spans="1:31" ht="15" customHeight="1">
      <c r="A15" s="34" t="s">
        <v>30</v>
      </c>
      <c r="B15" s="35" t="s">
        <v>31</v>
      </c>
      <c r="C15" s="35" t="s">
        <v>32</v>
      </c>
      <c r="D15" s="43">
        <v>203175</v>
      </c>
      <c r="E15" s="37" t="s">
        <v>14</v>
      </c>
      <c r="F15" s="45">
        <f t="shared" si="0"/>
        <v>203175</v>
      </c>
      <c r="G15" s="37" t="s">
        <v>14</v>
      </c>
      <c r="H15" s="37" t="s">
        <v>14</v>
      </c>
      <c r="I15" s="45">
        <v>231488</v>
      </c>
      <c r="J15" s="43">
        <v>233755</v>
      </c>
      <c r="K15" s="37" t="s">
        <v>14</v>
      </c>
      <c r="L15" s="45">
        <f t="shared" si="5"/>
        <v>233755</v>
      </c>
      <c r="M15" s="43">
        <v>236044</v>
      </c>
      <c r="N15" s="37" t="s">
        <v>14</v>
      </c>
      <c r="O15" s="45">
        <f t="shared" si="2"/>
        <v>236044</v>
      </c>
      <c r="P15" s="64">
        <v>186942</v>
      </c>
      <c r="Q15" s="37" t="s">
        <v>14</v>
      </c>
      <c r="R15" s="45">
        <f>P15</f>
        <v>186942</v>
      </c>
      <c r="S15" s="43">
        <v>292987</v>
      </c>
      <c r="T15" s="37" t="s">
        <v>14</v>
      </c>
      <c r="U15" s="45">
        <f t="shared" si="3"/>
        <v>292987</v>
      </c>
      <c r="V15" s="24"/>
      <c r="W15" s="8"/>
      <c r="X15" s="29"/>
      <c r="AE15" s="1"/>
    </row>
    <row r="16" spans="1:31" ht="15" customHeight="1">
      <c r="A16" s="34" t="s">
        <v>33</v>
      </c>
      <c r="B16" s="35" t="s">
        <v>34</v>
      </c>
      <c r="C16" s="35" t="s">
        <v>34</v>
      </c>
      <c r="D16" s="49">
        <v>166000</v>
      </c>
      <c r="E16" s="37">
        <v>7800</v>
      </c>
      <c r="F16" s="45">
        <f t="shared" si="0"/>
        <v>173800</v>
      </c>
      <c r="G16" s="37" t="s">
        <v>14</v>
      </c>
      <c r="H16" s="37" t="s">
        <v>14</v>
      </c>
      <c r="I16" s="45">
        <v>183581.33</v>
      </c>
      <c r="J16" s="49">
        <v>186350.39</v>
      </c>
      <c r="K16" s="37" t="s">
        <v>14</v>
      </c>
      <c r="L16" s="45">
        <f>SUM(J16:K16)</f>
        <v>186350.39</v>
      </c>
      <c r="M16" s="43">
        <v>189477</v>
      </c>
      <c r="N16" s="37" t="s">
        <v>14</v>
      </c>
      <c r="O16" s="45">
        <f t="shared" si="2"/>
        <v>189477</v>
      </c>
      <c r="P16" s="43">
        <v>192646</v>
      </c>
      <c r="Q16" s="37" t="s">
        <v>14</v>
      </c>
      <c r="R16" s="45">
        <f t="shared" si="4"/>
        <v>192646</v>
      </c>
      <c r="S16" s="43">
        <v>188944</v>
      </c>
      <c r="T16" s="37" t="s">
        <v>14</v>
      </c>
      <c r="U16" s="45">
        <f t="shared" si="3"/>
        <v>188944</v>
      </c>
      <c r="V16" s="1"/>
      <c r="W16" s="8"/>
      <c r="X16" s="29"/>
      <c r="AE16" s="1"/>
    </row>
    <row r="17" spans="1:45" ht="15" customHeight="1">
      <c r="A17" s="34" t="s">
        <v>35</v>
      </c>
      <c r="B17" s="35" t="s">
        <v>36</v>
      </c>
      <c r="C17" s="35" t="s">
        <v>36</v>
      </c>
      <c r="D17" s="47">
        <v>243233.92000000001</v>
      </c>
      <c r="E17" s="48">
        <v>10841.87</v>
      </c>
      <c r="F17" s="45">
        <f t="shared" si="0"/>
        <v>254075.79</v>
      </c>
      <c r="G17" s="48" t="s">
        <v>14</v>
      </c>
      <c r="H17" s="48" t="s">
        <v>14</v>
      </c>
      <c r="I17" s="52">
        <v>142500</v>
      </c>
      <c r="J17" s="47">
        <v>203000</v>
      </c>
      <c r="K17" s="48" t="s">
        <v>14</v>
      </c>
      <c r="L17" s="45">
        <f>SUM(J17:K17)</f>
        <v>203000</v>
      </c>
      <c r="M17" s="43">
        <v>203000</v>
      </c>
      <c r="N17" s="48" t="s">
        <v>14</v>
      </c>
      <c r="O17" s="45">
        <f t="shared" si="2"/>
        <v>203000</v>
      </c>
      <c r="P17" s="43">
        <v>212858</v>
      </c>
      <c r="Q17" s="48" t="s">
        <v>14</v>
      </c>
      <c r="R17" s="45">
        <f t="shared" si="4"/>
        <v>212858</v>
      </c>
      <c r="S17" s="43">
        <v>211087</v>
      </c>
      <c r="T17" s="48" t="s">
        <v>14</v>
      </c>
      <c r="U17" s="45">
        <f t="shared" si="3"/>
        <v>211087</v>
      </c>
      <c r="V17" s="24"/>
      <c r="W17" s="8"/>
      <c r="X17" s="29"/>
      <c r="AE17" s="1"/>
    </row>
    <row r="18" spans="1:45" ht="15" customHeight="1">
      <c r="A18" s="34" t="s">
        <v>37</v>
      </c>
      <c r="B18" s="35" t="s">
        <v>38</v>
      </c>
      <c r="C18" s="35" t="s">
        <v>38</v>
      </c>
      <c r="D18" s="47">
        <v>234206</v>
      </c>
      <c r="E18" s="48">
        <v>37242</v>
      </c>
      <c r="F18" s="45">
        <f t="shared" si="0"/>
        <v>271448</v>
      </c>
      <c r="G18" s="37" t="s">
        <v>14</v>
      </c>
      <c r="H18" s="37" t="s">
        <v>14</v>
      </c>
      <c r="I18" s="45">
        <v>301200</v>
      </c>
      <c r="J18" s="43">
        <v>300000</v>
      </c>
      <c r="K18" s="37" t="s">
        <v>14</v>
      </c>
      <c r="L18" s="45">
        <f>SUM(J18:K18)</f>
        <v>300000</v>
      </c>
      <c r="M18" s="43">
        <v>300000</v>
      </c>
      <c r="N18" s="37" t="s">
        <v>14</v>
      </c>
      <c r="O18" s="45">
        <f t="shared" si="2"/>
        <v>300000</v>
      </c>
      <c r="P18" s="43">
        <v>300000</v>
      </c>
      <c r="Q18" s="37" t="s">
        <v>14</v>
      </c>
      <c r="R18" s="45">
        <f t="shared" si="4"/>
        <v>300000</v>
      </c>
      <c r="S18" s="43">
        <v>322461</v>
      </c>
      <c r="T18" s="37" t="s">
        <v>14</v>
      </c>
      <c r="U18" s="45">
        <f t="shared" si="3"/>
        <v>322461</v>
      </c>
      <c r="V18" s="24"/>
      <c r="W18" s="8"/>
      <c r="X18" s="29"/>
      <c r="Y18" s="69"/>
      <c r="Z18" s="39"/>
      <c r="AA18" s="40"/>
      <c r="AB18" s="40"/>
      <c r="AC18" s="41"/>
      <c r="AD18" s="42"/>
      <c r="AE18" s="1"/>
    </row>
    <row r="19" spans="1:45" ht="15" customHeight="1">
      <c r="A19" s="34" t="s">
        <v>39</v>
      </c>
      <c r="B19" s="35" t="s">
        <v>40</v>
      </c>
      <c r="C19" s="35" t="s">
        <v>40</v>
      </c>
      <c r="D19" s="47" t="s">
        <v>14</v>
      </c>
      <c r="E19" s="48" t="s">
        <v>14</v>
      </c>
      <c r="F19" s="45">
        <f>(375000+400000)/2</f>
        <v>387500</v>
      </c>
      <c r="G19" s="37" t="s">
        <v>14</v>
      </c>
      <c r="H19" s="37" t="s">
        <v>14</v>
      </c>
      <c r="I19" s="52">
        <f>(424999+449990)/2</f>
        <v>437494.5</v>
      </c>
      <c r="J19" s="43" t="s">
        <v>14</v>
      </c>
      <c r="K19" s="37" t="s">
        <v>14</v>
      </c>
      <c r="L19" s="45">
        <f>(424999+449990)/2</f>
        <v>437494.5</v>
      </c>
      <c r="M19" s="37" t="s">
        <v>14</v>
      </c>
      <c r="N19" s="37" t="s">
        <v>14</v>
      </c>
      <c r="O19" s="37" t="s">
        <v>14</v>
      </c>
      <c r="P19" s="36" t="s">
        <v>14</v>
      </c>
      <c r="Q19" s="37" t="s">
        <v>14</v>
      </c>
      <c r="R19" s="38" t="s">
        <v>14</v>
      </c>
      <c r="S19" s="43" t="s">
        <v>14</v>
      </c>
      <c r="T19" s="37" t="s">
        <v>14</v>
      </c>
      <c r="U19" s="38" t="s">
        <v>14</v>
      </c>
      <c r="V19" s="24"/>
      <c r="W19" s="8"/>
      <c r="X19" s="29"/>
      <c r="Z19" s="39"/>
      <c r="AA19" s="40"/>
      <c r="AB19" s="40"/>
      <c r="AC19" s="41"/>
      <c r="AD19" s="42"/>
      <c r="AE19" s="1"/>
    </row>
    <row r="20" spans="1:45" ht="15" customHeight="1">
      <c r="A20" s="34" t="s">
        <v>41</v>
      </c>
      <c r="B20" s="35" t="s">
        <v>42</v>
      </c>
      <c r="C20" s="35" t="s">
        <v>42</v>
      </c>
      <c r="D20" s="47" t="s">
        <v>14</v>
      </c>
      <c r="E20" s="48" t="s">
        <v>14</v>
      </c>
      <c r="F20" s="45" t="s">
        <v>14</v>
      </c>
      <c r="G20" s="46" t="s">
        <v>14</v>
      </c>
      <c r="H20" s="46" t="s">
        <v>14</v>
      </c>
      <c r="I20" s="29">
        <f>(305000 + 329999)/2</f>
        <v>317499.5</v>
      </c>
      <c r="J20" s="43" t="s">
        <v>14</v>
      </c>
      <c r="K20" s="46" t="s">
        <v>14</v>
      </c>
      <c r="L20" s="29">
        <f>(305000 + 329999)/2</f>
        <v>317499.5</v>
      </c>
      <c r="M20" s="24">
        <f>(305000 + 329999)/2</f>
        <v>317499.5</v>
      </c>
      <c r="N20" s="46" t="s">
        <v>14</v>
      </c>
      <c r="O20" s="45">
        <f t="shared" si="2"/>
        <v>317499.5</v>
      </c>
      <c r="P20" s="24">
        <f>(305000 + 329999)/2</f>
        <v>317499.5</v>
      </c>
      <c r="Q20" s="46" t="s">
        <v>14</v>
      </c>
      <c r="R20" s="45">
        <f t="shared" si="4"/>
        <v>317499.5</v>
      </c>
      <c r="S20" s="43" t="s">
        <v>14</v>
      </c>
      <c r="T20" s="46" t="s">
        <v>14</v>
      </c>
      <c r="U20" s="38" t="s">
        <v>14</v>
      </c>
      <c r="V20" s="24"/>
      <c r="W20" s="8"/>
      <c r="X20" s="29"/>
      <c r="Y20" s="69"/>
      <c r="Z20" s="39"/>
      <c r="AA20" s="40"/>
      <c r="AB20" s="40"/>
      <c r="AC20" s="41"/>
      <c r="AD20" s="42"/>
      <c r="AE20" s="1"/>
    </row>
    <row r="21" spans="1:45" ht="15" customHeight="1">
      <c r="A21" s="34" t="s">
        <v>43</v>
      </c>
      <c r="B21" s="34" t="s">
        <v>44</v>
      </c>
      <c r="C21" s="35" t="s">
        <v>45</v>
      </c>
      <c r="D21" s="47">
        <v>258825</v>
      </c>
      <c r="E21" s="48" t="s">
        <v>14</v>
      </c>
      <c r="F21" s="45">
        <f>SUM(D21:E21)</f>
        <v>258825</v>
      </c>
      <c r="G21" s="46" t="s">
        <v>14</v>
      </c>
      <c r="H21" s="46" t="s">
        <v>14</v>
      </c>
      <c r="I21" s="45" t="s">
        <v>14</v>
      </c>
      <c r="J21" s="43" t="s">
        <v>14</v>
      </c>
      <c r="K21" s="46" t="s">
        <v>14</v>
      </c>
      <c r="L21" s="45" t="s">
        <v>14</v>
      </c>
      <c r="M21" s="36" t="s">
        <v>14</v>
      </c>
      <c r="N21" s="46" t="s">
        <v>14</v>
      </c>
      <c r="O21" s="37" t="s">
        <v>14</v>
      </c>
      <c r="P21" s="36" t="s">
        <v>14</v>
      </c>
      <c r="Q21" s="46" t="s">
        <v>14</v>
      </c>
      <c r="R21" s="37" t="s">
        <v>14</v>
      </c>
      <c r="S21" s="43" t="s">
        <v>14</v>
      </c>
      <c r="T21" s="46" t="s">
        <v>14</v>
      </c>
      <c r="U21" s="38" t="s">
        <v>14</v>
      </c>
      <c r="V21" s="24"/>
      <c r="W21" s="8"/>
      <c r="X21" s="29"/>
      <c r="AE21" s="1"/>
    </row>
    <row r="22" spans="1:45" ht="15" customHeight="1">
      <c r="A22" s="34" t="s">
        <v>46</v>
      </c>
      <c r="B22" s="35" t="s">
        <v>47</v>
      </c>
      <c r="C22" s="35" t="s">
        <v>47</v>
      </c>
      <c r="D22" s="22" t="s">
        <v>14</v>
      </c>
      <c r="E22" s="9" t="s">
        <v>14</v>
      </c>
      <c r="F22" s="23" t="s">
        <v>14</v>
      </c>
      <c r="G22" s="9" t="s">
        <v>14</v>
      </c>
      <c r="H22" s="9" t="s">
        <v>14</v>
      </c>
      <c r="I22" s="51" t="s">
        <v>14</v>
      </c>
      <c r="J22" s="22" t="s">
        <v>14</v>
      </c>
      <c r="K22" s="9" t="s">
        <v>14</v>
      </c>
      <c r="L22" s="51" t="s">
        <v>14</v>
      </c>
      <c r="M22" s="36" t="s">
        <v>14</v>
      </c>
      <c r="N22" s="9" t="s">
        <v>14</v>
      </c>
      <c r="O22" s="37" t="s">
        <v>14</v>
      </c>
      <c r="P22" s="36" t="s">
        <v>14</v>
      </c>
      <c r="Q22" s="9" t="s">
        <v>14</v>
      </c>
      <c r="R22" s="37" t="s">
        <v>14</v>
      </c>
      <c r="S22" s="22" t="s">
        <v>14</v>
      </c>
      <c r="T22" s="9" t="s">
        <v>14</v>
      </c>
      <c r="U22" s="38" t="s">
        <v>14</v>
      </c>
      <c r="V22" s="24"/>
      <c r="W22" s="8"/>
      <c r="X22" s="29"/>
      <c r="AE22" s="1"/>
    </row>
    <row r="23" spans="1:45" ht="15" customHeight="1">
      <c r="A23" s="34" t="s">
        <v>48</v>
      </c>
      <c r="B23" s="15" t="s">
        <v>49</v>
      </c>
      <c r="C23" s="15" t="s">
        <v>49</v>
      </c>
      <c r="D23" s="36" t="s">
        <v>14</v>
      </c>
      <c r="E23" s="37" t="s">
        <v>14</v>
      </c>
      <c r="F23" s="38" t="s">
        <v>14</v>
      </c>
      <c r="G23" s="37" t="s">
        <v>14</v>
      </c>
      <c r="H23" s="37" t="s">
        <v>14</v>
      </c>
      <c r="I23" s="50" t="s">
        <v>14</v>
      </c>
      <c r="J23" s="36" t="s">
        <v>14</v>
      </c>
      <c r="K23" s="37" t="s">
        <v>14</v>
      </c>
      <c r="L23" s="50" t="s">
        <v>14</v>
      </c>
      <c r="M23" s="36" t="s">
        <v>14</v>
      </c>
      <c r="N23" s="37" t="s">
        <v>14</v>
      </c>
      <c r="O23" s="37" t="s">
        <v>14</v>
      </c>
      <c r="P23" s="36" t="s">
        <v>14</v>
      </c>
      <c r="Q23" s="37" t="s">
        <v>14</v>
      </c>
      <c r="R23" s="37" t="s">
        <v>14</v>
      </c>
      <c r="S23" s="36" t="s">
        <v>14</v>
      </c>
      <c r="T23" s="37" t="s">
        <v>14</v>
      </c>
      <c r="U23" s="38" t="s">
        <v>14</v>
      </c>
      <c r="V23" s="24"/>
      <c r="W23" s="8"/>
      <c r="X23" s="29"/>
      <c r="AE23" s="1"/>
    </row>
    <row r="24" spans="1:45" s="4" customFormat="1" ht="15" customHeight="1">
      <c r="A24" s="124" t="s">
        <v>50</v>
      </c>
      <c r="B24" s="124"/>
      <c r="C24" s="124"/>
      <c r="D24" s="124"/>
      <c r="E24" s="124"/>
      <c r="F24" s="21"/>
      <c r="G24" s="10"/>
      <c r="H24" s="10"/>
      <c r="I24" s="10"/>
      <c r="J24" s="11" t="s">
        <v>51</v>
      </c>
      <c r="K24" s="11"/>
      <c r="L24" s="21"/>
      <c r="M24" s="11" t="s">
        <v>51</v>
      </c>
      <c r="N24" s="11"/>
      <c r="O24" s="31"/>
      <c r="P24" s="11" t="s">
        <v>51</v>
      </c>
      <c r="Q24" s="11"/>
      <c r="R24" s="31"/>
      <c r="S24" s="11" t="s">
        <v>51</v>
      </c>
      <c r="T24" s="11"/>
      <c r="U24" s="31"/>
      <c r="V24" s="30"/>
      <c r="W24" s="11"/>
      <c r="X24" s="31"/>
      <c r="Y24" s="68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5" customHeight="1">
      <c r="A25" s="34" t="s">
        <v>52</v>
      </c>
      <c r="B25" s="15" t="s">
        <v>53</v>
      </c>
      <c r="C25" s="15" t="s">
        <v>54</v>
      </c>
      <c r="D25" s="43">
        <v>360570</v>
      </c>
      <c r="E25" s="44">
        <v>75105</v>
      </c>
      <c r="F25" s="45">
        <f t="shared" ref="F25:F40" si="6">SUM(D25:E25)</f>
        <v>435675</v>
      </c>
      <c r="G25" s="46"/>
      <c r="H25" s="46"/>
      <c r="I25" s="46"/>
      <c r="J25" s="43">
        <v>380829</v>
      </c>
      <c r="K25" s="44">
        <v>6997</v>
      </c>
      <c r="L25" s="45">
        <f>SUM(J25:K25)</f>
        <v>387826</v>
      </c>
      <c r="M25" s="24">
        <v>406349</v>
      </c>
      <c r="N25" s="8">
        <v>70123</v>
      </c>
      <c r="O25" s="45">
        <f>SUM(M25:N25)</f>
        <v>476472</v>
      </c>
      <c r="P25" s="49">
        <v>424423</v>
      </c>
      <c r="Q25" s="8">
        <v>38009</v>
      </c>
      <c r="R25" s="29">
        <f>SUM(P25:Q25)</f>
        <v>462432</v>
      </c>
      <c r="S25" s="24">
        <v>424423</v>
      </c>
      <c r="T25" s="37" t="s">
        <v>14</v>
      </c>
      <c r="U25" s="29">
        <f>SUM(S25:T25)</f>
        <v>424423</v>
      </c>
      <c r="V25" s="24"/>
      <c r="W25" s="8"/>
      <c r="X25" s="29"/>
      <c r="AE25" s="1"/>
    </row>
    <row r="26" spans="1:45" ht="15" customHeight="1">
      <c r="A26" s="34" t="s">
        <v>55</v>
      </c>
      <c r="B26" s="34" t="s">
        <v>56</v>
      </c>
      <c r="C26" s="34" t="s">
        <v>56</v>
      </c>
      <c r="D26" s="43">
        <v>399913</v>
      </c>
      <c r="E26" s="44">
        <v>6311</v>
      </c>
      <c r="F26" s="45">
        <f t="shared" si="6"/>
        <v>406224</v>
      </c>
      <c r="G26" s="46"/>
      <c r="H26" s="46"/>
      <c r="I26" s="46"/>
      <c r="J26" s="43">
        <v>429659</v>
      </c>
      <c r="K26" s="44">
        <v>3019</v>
      </c>
      <c r="L26" s="45">
        <f>SUM(J26:K26)</f>
        <v>432678</v>
      </c>
      <c r="M26" s="24">
        <v>438252</v>
      </c>
      <c r="N26" s="8">
        <v>12630</v>
      </c>
      <c r="O26" s="45">
        <f t="shared" ref="O26:O42" si="7">SUM(M26:N26)</f>
        <v>450882</v>
      </c>
      <c r="P26" s="36" t="s">
        <v>14</v>
      </c>
      <c r="Q26" s="46" t="s">
        <v>14</v>
      </c>
      <c r="R26" s="37" t="s">
        <v>14</v>
      </c>
      <c r="S26" s="24">
        <v>442635</v>
      </c>
      <c r="T26" s="8">
        <v>326</v>
      </c>
      <c r="U26" s="29">
        <f>SUM(S26:T26)</f>
        <v>442961</v>
      </c>
      <c r="V26" s="24"/>
      <c r="W26" s="8"/>
      <c r="X26" s="29"/>
      <c r="AE26" s="1"/>
    </row>
    <row r="27" spans="1:45" ht="15" customHeight="1">
      <c r="A27" s="34" t="s">
        <v>57</v>
      </c>
      <c r="B27" s="34" t="s">
        <v>58</v>
      </c>
      <c r="C27" s="34" t="s">
        <v>59</v>
      </c>
      <c r="D27" s="43">
        <v>330000</v>
      </c>
      <c r="E27" s="44">
        <v>0</v>
      </c>
      <c r="F27" s="45">
        <f t="shared" si="6"/>
        <v>330000</v>
      </c>
      <c r="G27" s="46"/>
      <c r="H27" s="46"/>
      <c r="I27" s="46"/>
      <c r="J27" s="49">
        <v>331000</v>
      </c>
      <c r="K27" s="44">
        <v>2475</v>
      </c>
      <c r="L27" s="45">
        <f t="shared" ref="L27" si="8">SUM(J27:K27)</f>
        <v>333475</v>
      </c>
      <c r="M27" s="49">
        <v>337620</v>
      </c>
      <c r="N27" s="8">
        <v>2595</v>
      </c>
      <c r="O27" s="45">
        <f t="shared" si="7"/>
        <v>340215</v>
      </c>
      <c r="P27" s="49">
        <v>337620</v>
      </c>
      <c r="Q27" s="8">
        <v>2129</v>
      </c>
      <c r="R27" s="29">
        <f t="shared" ref="R27:R42" si="9">SUM(P27:Q27)</f>
        <v>339749</v>
      </c>
      <c r="S27" s="24">
        <v>337620</v>
      </c>
      <c r="T27" s="8">
        <v>1731</v>
      </c>
      <c r="U27" s="29">
        <f t="shared" ref="U27:U42" si="10">SUM(S27:T27)</f>
        <v>339351</v>
      </c>
      <c r="V27" s="24"/>
      <c r="W27" s="8"/>
      <c r="X27" s="29"/>
      <c r="AE27" s="1"/>
    </row>
    <row r="28" spans="1:45" ht="15" customHeight="1">
      <c r="A28" s="34" t="s">
        <v>60</v>
      </c>
      <c r="B28" s="34" t="s">
        <v>61</v>
      </c>
      <c r="C28" s="34" t="s">
        <v>62</v>
      </c>
      <c r="D28" s="43">
        <v>295005</v>
      </c>
      <c r="E28" s="44">
        <v>3022.34</v>
      </c>
      <c r="F28" s="45">
        <f t="shared" si="6"/>
        <v>298027.34000000003</v>
      </c>
      <c r="G28" s="46"/>
      <c r="H28" s="46"/>
      <c r="I28" s="46"/>
      <c r="J28" s="43">
        <v>309873</v>
      </c>
      <c r="K28" s="44">
        <v>2994.84</v>
      </c>
      <c r="L28" s="45">
        <f t="shared" ref="L28:L42" si="11">SUM(J28:K28)</f>
        <v>312867.84000000003</v>
      </c>
      <c r="M28" s="24">
        <v>320490</v>
      </c>
      <c r="N28" s="8">
        <v>1949.19</v>
      </c>
      <c r="O28" s="45">
        <f t="shared" si="7"/>
        <v>322439.19</v>
      </c>
      <c r="P28" s="24">
        <v>320490</v>
      </c>
      <c r="Q28" s="8">
        <v>3604.9</v>
      </c>
      <c r="R28" s="29">
        <f t="shared" si="9"/>
        <v>324094.90000000002</v>
      </c>
      <c r="S28" s="24">
        <v>331805</v>
      </c>
      <c r="T28" s="8">
        <v>2038</v>
      </c>
      <c r="U28" s="29">
        <f t="shared" si="10"/>
        <v>333843</v>
      </c>
      <c r="V28" s="24"/>
      <c r="W28" s="8"/>
      <c r="X28" s="29"/>
      <c r="AE28" s="1"/>
    </row>
    <row r="29" spans="1:45" ht="15" customHeight="1">
      <c r="A29" s="34" t="s">
        <v>63</v>
      </c>
      <c r="B29" s="34" t="s">
        <v>64</v>
      </c>
      <c r="C29" s="34" t="s">
        <v>64</v>
      </c>
      <c r="D29" s="43">
        <v>278683</v>
      </c>
      <c r="E29" s="44">
        <v>18055</v>
      </c>
      <c r="F29" s="45">
        <f t="shared" si="6"/>
        <v>296738</v>
      </c>
      <c r="G29" s="46"/>
      <c r="H29" s="46"/>
      <c r="I29" s="46"/>
      <c r="J29" s="43">
        <v>287100</v>
      </c>
      <c r="K29" s="44">
        <v>20508</v>
      </c>
      <c r="L29" s="45">
        <f t="shared" si="11"/>
        <v>307608</v>
      </c>
      <c r="M29" s="24">
        <v>292841</v>
      </c>
      <c r="N29" s="8">
        <v>22203</v>
      </c>
      <c r="O29" s="45">
        <f t="shared" si="7"/>
        <v>315044</v>
      </c>
      <c r="P29" s="24">
        <v>298698</v>
      </c>
      <c r="Q29" s="8">
        <v>18068</v>
      </c>
      <c r="R29" s="29">
        <f t="shared" si="9"/>
        <v>316766</v>
      </c>
      <c r="S29" s="24">
        <v>298698</v>
      </c>
      <c r="T29" s="8">
        <v>20790</v>
      </c>
      <c r="U29" s="29">
        <f t="shared" si="10"/>
        <v>319488</v>
      </c>
      <c r="V29" s="24"/>
      <c r="W29" s="8"/>
      <c r="X29" s="29"/>
      <c r="AE29" s="1"/>
    </row>
    <row r="30" spans="1:45" ht="15" customHeight="1">
      <c r="A30" s="34" t="s">
        <v>65</v>
      </c>
      <c r="B30" s="34" t="s">
        <v>66</v>
      </c>
      <c r="C30" s="34" t="s">
        <v>67</v>
      </c>
      <c r="D30" s="43">
        <v>240570</v>
      </c>
      <c r="E30" s="44">
        <v>15234</v>
      </c>
      <c r="F30" s="45">
        <f t="shared" si="6"/>
        <v>255804</v>
      </c>
      <c r="G30" s="46"/>
      <c r="H30" s="46"/>
      <c r="I30" s="46"/>
      <c r="J30" s="43">
        <v>257005</v>
      </c>
      <c r="K30" s="44">
        <v>5389</v>
      </c>
      <c r="L30" s="45">
        <f t="shared" si="11"/>
        <v>262394</v>
      </c>
      <c r="M30" s="24">
        <v>261019</v>
      </c>
      <c r="N30" s="8">
        <v>18745</v>
      </c>
      <c r="O30" s="45">
        <f t="shared" si="7"/>
        <v>279764</v>
      </c>
      <c r="P30" s="24">
        <v>262140</v>
      </c>
      <c r="Q30" s="8">
        <v>19219</v>
      </c>
      <c r="R30" s="29">
        <f t="shared" si="9"/>
        <v>281359</v>
      </c>
      <c r="S30" s="24">
        <v>260802</v>
      </c>
      <c r="T30" s="8">
        <v>19288</v>
      </c>
      <c r="U30" s="29">
        <f t="shared" si="10"/>
        <v>280090</v>
      </c>
      <c r="V30" s="24"/>
      <c r="W30" s="8"/>
      <c r="X30" s="29"/>
      <c r="AE30" s="1"/>
    </row>
    <row r="31" spans="1:45" ht="15" customHeight="1">
      <c r="A31" s="34" t="s">
        <v>68</v>
      </c>
      <c r="B31" s="34" t="s">
        <v>69</v>
      </c>
      <c r="C31" s="34" t="s">
        <v>70</v>
      </c>
      <c r="D31" s="43">
        <v>202556</v>
      </c>
      <c r="E31" s="44">
        <v>3318</v>
      </c>
      <c r="F31" s="45">
        <f t="shared" si="6"/>
        <v>205874</v>
      </c>
      <c r="G31" s="46"/>
      <c r="H31" s="46"/>
      <c r="I31" s="46"/>
      <c r="J31" s="43">
        <v>211285</v>
      </c>
      <c r="K31" s="44">
        <f>40196+211285</f>
        <v>251481</v>
      </c>
      <c r="L31" s="44">
        <f>SUM(J31:K31)</f>
        <v>462766</v>
      </c>
      <c r="M31" s="36" t="s">
        <v>14</v>
      </c>
      <c r="N31" s="46" t="s">
        <v>14</v>
      </c>
      <c r="O31" s="37" t="s">
        <v>14</v>
      </c>
      <c r="P31" s="36" t="s">
        <v>14</v>
      </c>
      <c r="Q31" s="46" t="s">
        <v>14</v>
      </c>
      <c r="R31" s="37" t="s">
        <v>14</v>
      </c>
      <c r="S31" s="24">
        <v>223118</v>
      </c>
      <c r="T31" s="8">
        <v>7734</v>
      </c>
      <c r="U31" s="29">
        <f t="shared" si="10"/>
        <v>230852</v>
      </c>
      <c r="V31" s="24"/>
      <c r="W31" s="8"/>
      <c r="X31" s="29"/>
      <c r="AE31" s="1"/>
    </row>
    <row r="32" spans="1:45" ht="15" customHeight="1">
      <c r="A32" s="34" t="s">
        <v>71</v>
      </c>
      <c r="B32" s="34" t="s">
        <v>72</v>
      </c>
      <c r="C32" s="1" t="s">
        <v>73</v>
      </c>
      <c r="D32" s="43">
        <v>182300</v>
      </c>
      <c r="E32" s="44">
        <v>19145.91</v>
      </c>
      <c r="F32" s="45">
        <f t="shared" si="6"/>
        <v>201445.91</v>
      </c>
      <c r="G32" s="46"/>
      <c r="H32" s="46"/>
      <c r="I32" s="46"/>
      <c r="J32" s="43">
        <v>193960</v>
      </c>
      <c r="K32" s="44">
        <v>14042.2</v>
      </c>
      <c r="L32" s="45">
        <f t="shared" si="11"/>
        <v>208002.2</v>
      </c>
      <c r="M32" s="24">
        <v>210212</v>
      </c>
      <c r="N32" s="8">
        <v>14566.09</v>
      </c>
      <c r="O32" s="45">
        <f t="shared" si="7"/>
        <v>224778.09</v>
      </c>
      <c r="P32" s="24">
        <v>210212</v>
      </c>
      <c r="Q32" s="8">
        <v>14882.47</v>
      </c>
      <c r="R32" s="29">
        <f t="shared" si="9"/>
        <v>225094.47</v>
      </c>
      <c r="S32" s="24">
        <v>210212</v>
      </c>
      <c r="T32" s="8">
        <v>13623.65</v>
      </c>
      <c r="U32" s="29">
        <f>SUM(S32:T32)</f>
        <v>223835.65</v>
      </c>
      <c r="V32" s="24"/>
      <c r="W32" s="8"/>
      <c r="X32" s="29"/>
      <c r="AE32" s="1"/>
    </row>
    <row r="33" spans="1:45" ht="15" customHeight="1">
      <c r="A33" s="34" t="s">
        <v>74</v>
      </c>
      <c r="B33" s="83" t="s">
        <v>75</v>
      </c>
      <c r="C33" s="34" t="s">
        <v>76</v>
      </c>
      <c r="D33" s="43">
        <v>192429</v>
      </c>
      <c r="E33" s="44">
        <v>2977</v>
      </c>
      <c r="F33" s="45">
        <f t="shared" si="6"/>
        <v>195406</v>
      </c>
      <c r="G33" s="46"/>
      <c r="H33" s="46"/>
      <c r="I33" s="46"/>
      <c r="J33" s="43">
        <v>200720</v>
      </c>
      <c r="K33" s="44">
        <v>61203</v>
      </c>
      <c r="L33" s="45">
        <f t="shared" si="11"/>
        <v>261923</v>
      </c>
      <c r="M33" s="24">
        <v>218196</v>
      </c>
      <c r="N33" s="8">
        <v>125883</v>
      </c>
      <c r="O33" s="45">
        <f t="shared" si="7"/>
        <v>344079</v>
      </c>
      <c r="P33" s="24">
        <v>210212</v>
      </c>
      <c r="Q33" s="8"/>
      <c r="R33" s="29">
        <f t="shared" si="9"/>
        <v>210212</v>
      </c>
      <c r="S33" s="53">
        <v>210212</v>
      </c>
      <c r="T33" s="37" t="s">
        <v>14</v>
      </c>
      <c r="U33" s="29">
        <f t="shared" si="10"/>
        <v>210212</v>
      </c>
      <c r="V33" s="24"/>
      <c r="W33" s="8"/>
      <c r="X33" s="29"/>
      <c r="AE33" s="1"/>
    </row>
    <row r="34" spans="1:45" ht="15" customHeight="1">
      <c r="A34" s="34" t="s">
        <v>77</v>
      </c>
      <c r="B34" s="34" t="s">
        <v>78</v>
      </c>
      <c r="C34" s="34" t="s">
        <v>79</v>
      </c>
      <c r="D34" s="43">
        <v>182302</v>
      </c>
      <c r="E34" s="44">
        <v>7780</v>
      </c>
      <c r="F34" s="45">
        <f t="shared" si="6"/>
        <v>190082</v>
      </c>
      <c r="G34" s="46"/>
      <c r="H34" s="46"/>
      <c r="I34" s="46"/>
      <c r="J34" s="43">
        <v>191813</v>
      </c>
      <c r="K34" s="44">
        <v>5553</v>
      </c>
      <c r="L34" s="45">
        <f t="shared" si="11"/>
        <v>197366</v>
      </c>
      <c r="M34" s="24">
        <v>208102</v>
      </c>
      <c r="N34" s="8">
        <v>8402</v>
      </c>
      <c r="O34" s="45">
        <f t="shared" si="7"/>
        <v>216504</v>
      </c>
      <c r="P34" s="24">
        <v>210212</v>
      </c>
      <c r="Q34" s="8">
        <v>13909</v>
      </c>
      <c r="R34" s="29">
        <f t="shared" si="9"/>
        <v>224121</v>
      </c>
      <c r="S34" s="53">
        <v>210212</v>
      </c>
      <c r="T34" s="37" t="s">
        <v>14</v>
      </c>
      <c r="U34" s="29">
        <f t="shared" si="10"/>
        <v>210212</v>
      </c>
      <c r="V34" s="24"/>
      <c r="W34" s="8"/>
      <c r="X34" s="29"/>
      <c r="AE34" s="1"/>
    </row>
    <row r="35" spans="1:45" ht="15" customHeight="1">
      <c r="A35" s="74" t="s">
        <v>80</v>
      </c>
      <c r="B35" s="34" t="s">
        <v>81</v>
      </c>
      <c r="C35" s="34" t="s">
        <v>82</v>
      </c>
      <c r="D35" s="43">
        <v>182302</v>
      </c>
      <c r="E35" s="44">
        <v>7173</v>
      </c>
      <c r="F35" s="45">
        <f t="shared" si="6"/>
        <v>189475</v>
      </c>
      <c r="G35" s="46"/>
      <c r="H35" s="46"/>
      <c r="I35" s="46"/>
      <c r="J35" s="43">
        <v>193960</v>
      </c>
      <c r="K35" s="44">
        <v>19154</v>
      </c>
      <c r="L35" s="45">
        <f t="shared" si="11"/>
        <v>213114</v>
      </c>
      <c r="M35" s="24">
        <v>206090</v>
      </c>
      <c r="N35" s="8">
        <v>11565</v>
      </c>
      <c r="O35" s="45">
        <f t="shared" si="7"/>
        <v>217655</v>
      </c>
      <c r="P35" s="24">
        <v>210212</v>
      </c>
      <c r="Q35" s="8">
        <v>7446</v>
      </c>
      <c r="R35" s="29">
        <f t="shared" si="9"/>
        <v>217658</v>
      </c>
      <c r="S35" s="53">
        <v>210212</v>
      </c>
      <c r="T35" s="8">
        <v>5050</v>
      </c>
      <c r="U35" s="29">
        <f t="shared" si="10"/>
        <v>215262</v>
      </c>
      <c r="V35" s="24"/>
      <c r="W35" s="8"/>
      <c r="X35" s="29"/>
      <c r="AE35" s="1"/>
    </row>
    <row r="36" spans="1:45" ht="15" customHeight="1">
      <c r="A36" s="34" t="s">
        <v>83</v>
      </c>
      <c r="B36" s="34" t="s">
        <v>84</v>
      </c>
      <c r="C36" s="34" t="s">
        <v>85</v>
      </c>
      <c r="D36" s="43">
        <v>172173</v>
      </c>
      <c r="E36" s="44">
        <v>4998</v>
      </c>
      <c r="F36" s="45">
        <f t="shared" si="6"/>
        <v>177171</v>
      </c>
      <c r="G36" s="46"/>
      <c r="H36" s="46"/>
      <c r="I36" s="46"/>
      <c r="J36" s="43">
        <v>183184</v>
      </c>
      <c r="K36" s="44">
        <v>17936</v>
      </c>
      <c r="L36" s="45">
        <f t="shared" si="11"/>
        <v>201120</v>
      </c>
      <c r="M36" s="24">
        <v>199133</v>
      </c>
      <c r="N36" s="8">
        <v>2849</v>
      </c>
      <c r="O36" s="45">
        <f t="shared" si="7"/>
        <v>201982</v>
      </c>
      <c r="P36" s="24">
        <v>210212</v>
      </c>
      <c r="Q36" s="8">
        <v>52676</v>
      </c>
      <c r="R36" s="29">
        <f t="shared" si="9"/>
        <v>262888</v>
      </c>
      <c r="S36" s="24">
        <v>207456</v>
      </c>
      <c r="T36" s="8">
        <v>2856</v>
      </c>
      <c r="U36" s="29">
        <f t="shared" si="10"/>
        <v>210312</v>
      </c>
      <c r="V36" s="24"/>
      <c r="W36" s="8"/>
      <c r="X36" s="29"/>
      <c r="AE36" s="1"/>
    </row>
    <row r="37" spans="1:45" ht="15" customHeight="1">
      <c r="A37" s="34" t="s">
        <v>86</v>
      </c>
      <c r="B37" s="34" t="s">
        <v>87</v>
      </c>
      <c r="C37" s="34" t="s">
        <v>87</v>
      </c>
      <c r="D37" s="43">
        <v>172173</v>
      </c>
      <c r="E37" s="44">
        <v>3191</v>
      </c>
      <c r="F37" s="45">
        <f t="shared" si="6"/>
        <v>175364</v>
      </c>
      <c r="G37" s="46"/>
      <c r="H37" s="46"/>
      <c r="I37" s="46"/>
      <c r="J37" s="43">
        <v>183184</v>
      </c>
      <c r="K37" s="44">
        <v>3223</v>
      </c>
      <c r="L37" s="45">
        <f t="shared" si="11"/>
        <v>186407</v>
      </c>
      <c r="M37" s="24">
        <v>199133</v>
      </c>
      <c r="N37" s="8">
        <v>3529</v>
      </c>
      <c r="O37" s="45">
        <f t="shared" si="7"/>
        <v>202662</v>
      </c>
      <c r="P37" s="24">
        <v>210212</v>
      </c>
      <c r="Q37" s="8">
        <v>3926</v>
      </c>
      <c r="R37" s="29">
        <f t="shared" si="9"/>
        <v>214138</v>
      </c>
      <c r="S37" s="24">
        <v>210212</v>
      </c>
      <c r="T37" s="8">
        <v>3183</v>
      </c>
      <c r="U37" s="29">
        <f t="shared" si="10"/>
        <v>213395</v>
      </c>
      <c r="V37" s="24"/>
      <c r="W37" s="8"/>
      <c r="X37" s="29"/>
      <c r="AE37" s="1"/>
    </row>
    <row r="38" spans="1:45" ht="15" customHeight="1">
      <c r="A38" s="34" t="s">
        <v>88</v>
      </c>
      <c r="B38" s="34" t="s">
        <v>89</v>
      </c>
      <c r="C38" s="34" t="s">
        <v>90</v>
      </c>
      <c r="D38" s="43">
        <v>162044</v>
      </c>
      <c r="E38" s="44">
        <v>2877</v>
      </c>
      <c r="F38" s="45">
        <f t="shared" si="6"/>
        <v>164921</v>
      </c>
      <c r="G38" s="46"/>
      <c r="H38" s="46"/>
      <c r="I38" s="46"/>
      <c r="J38" s="43">
        <v>169026</v>
      </c>
      <c r="K38" s="44">
        <v>1210</v>
      </c>
      <c r="L38" s="45">
        <f t="shared" si="11"/>
        <v>170236</v>
      </c>
      <c r="M38" s="24">
        <v>150249</v>
      </c>
      <c r="N38" s="8">
        <v>7810</v>
      </c>
      <c r="O38" s="45">
        <f t="shared" si="7"/>
        <v>158059</v>
      </c>
      <c r="P38" s="24">
        <v>197303</v>
      </c>
      <c r="Q38" s="8">
        <v>3890</v>
      </c>
      <c r="R38" s="29">
        <f t="shared" si="9"/>
        <v>201193</v>
      </c>
      <c r="S38" s="24">
        <v>197303</v>
      </c>
      <c r="T38" s="8">
        <v>3633</v>
      </c>
      <c r="U38" s="29">
        <f t="shared" si="10"/>
        <v>200936</v>
      </c>
      <c r="V38" s="24"/>
      <c r="W38" s="8"/>
      <c r="X38" s="29"/>
      <c r="AE38" s="1"/>
    </row>
    <row r="39" spans="1:45" ht="15" customHeight="1">
      <c r="A39" s="34" t="s">
        <v>91</v>
      </c>
      <c r="B39" s="34" t="s">
        <v>70</v>
      </c>
      <c r="C39" s="34" t="s">
        <v>92</v>
      </c>
      <c r="D39" s="43">
        <v>158865</v>
      </c>
      <c r="E39" s="44">
        <v>1869</v>
      </c>
      <c r="F39" s="45">
        <f t="shared" si="6"/>
        <v>160734</v>
      </c>
      <c r="G39" s="46"/>
      <c r="H39" s="46"/>
      <c r="I39" s="46"/>
      <c r="J39" s="43">
        <v>172407</v>
      </c>
      <c r="K39" s="44">
        <v>2623</v>
      </c>
      <c r="L39" s="45">
        <f t="shared" si="11"/>
        <v>175030</v>
      </c>
      <c r="M39" s="24">
        <v>187419</v>
      </c>
      <c r="N39" s="8">
        <v>5859</v>
      </c>
      <c r="O39" s="45">
        <f t="shared" si="7"/>
        <v>193278</v>
      </c>
      <c r="P39" s="24">
        <v>197303</v>
      </c>
      <c r="Q39" s="8">
        <v>4013</v>
      </c>
      <c r="R39" s="29">
        <f t="shared" si="9"/>
        <v>201316</v>
      </c>
      <c r="S39" s="24">
        <v>197303</v>
      </c>
      <c r="T39" s="8">
        <f>14139+197303</f>
        <v>211442</v>
      </c>
      <c r="U39" s="29">
        <f>SUM(S39:T39)</f>
        <v>408745</v>
      </c>
      <c r="V39" s="24"/>
      <c r="W39" s="8"/>
      <c r="X39" s="29"/>
      <c r="AE39" s="1"/>
    </row>
    <row r="40" spans="1:45" ht="15" customHeight="1">
      <c r="A40" s="34" t="s">
        <v>93</v>
      </c>
      <c r="B40" s="34" t="s">
        <v>94</v>
      </c>
      <c r="C40" s="34" t="s">
        <v>95</v>
      </c>
      <c r="D40" s="43">
        <v>162044</v>
      </c>
      <c r="E40" s="44">
        <v>1716</v>
      </c>
      <c r="F40" s="45">
        <f t="shared" si="6"/>
        <v>163760</v>
      </c>
      <c r="G40" s="46"/>
      <c r="H40" s="46"/>
      <c r="I40" s="46"/>
      <c r="J40" s="43">
        <v>172408</v>
      </c>
      <c r="K40" s="44">
        <v>6570</v>
      </c>
      <c r="L40" s="45">
        <f t="shared" si="11"/>
        <v>178978</v>
      </c>
      <c r="M40" s="24">
        <v>193434</v>
      </c>
      <c r="N40" s="8">
        <v>6836</v>
      </c>
      <c r="O40" s="45">
        <f t="shared" si="7"/>
        <v>200270</v>
      </c>
      <c r="P40" s="24">
        <v>193434</v>
      </c>
      <c r="Q40" s="8">
        <v>506</v>
      </c>
      <c r="R40" s="29">
        <f t="shared" si="9"/>
        <v>193940</v>
      </c>
      <c r="S40" s="24">
        <v>197303</v>
      </c>
      <c r="T40" s="8">
        <v>8441</v>
      </c>
      <c r="U40" s="29">
        <f t="shared" si="10"/>
        <v>205744</v>
      </c>
      <c r="V40" s="24"/>
      <c r="W40" s="8"/>
      <c r="X40" s="29"/>
      <c r="AE40" s="1"/>
    </row>
    <row r="41" spans="1:45" ht="15" customHeight="1">
      <c r="A41" s="34" t="s">
        <v>96</v>
      </c>
      <c r="B41" s="34" t="s">
        <v>97</v>
      </c>
      <c r="C41" s="34" t="s">
        <v>97</v>
      </c>
      <c r="D41" s="43" t="s">
        <v>98</v>
      </c>
      <c r="E41" s="37" t="s">
        <v>14</v>
      </c>
      <c r="F41" s="38" t="s">
        <v>14</v>
      </c>
      <c r="G41" s="37"/>
      <c r="H41" s="37"/>
      <c r="I41" s="37"/>
      <c r="J41" s="36">
        <v>444602</v>
      </c>
      <c r="K41" s="37">
        <v>65169</v>
      </c>
      <c r="L41" s="45">
        <f t="shared" si="11"/>
        <v>509771</v>
      </c>
      <c r="M41" s="24">
        <v>455167</v>
      </c>
      <c r="N41" s="8">
        <v>89066</v>
      </c>
      <c r="O41" s="45">
        <f t="shared" si="7"/>
        <v>544233</v>
      </c>
      <c r="P41" s="36">
        <v>465000</v>
      </c>
      <c r="Q41" s="37">
        <v>91000</v>
      </c>
      <c r="R41" s="29">
        <f t="shared" si="9"/>
        <v>556000</v>
      </c>
      <c r="S41" s="24">
        <v>478901</v>
      </c>
      <c r="T41" s="75">
        <v>382070</v>
      </c>
      <c r="U41" s="76">
        <f t="shared" si="10"/>
        <v>860971</v>
      </c>
      <c r="V41" s="24"/>
      <c r="W41" s="8"/>
      <c r="X41" s="29"/>
      <c r="AE41" s="1"/>
    </row>
    <row r="42" spans="1:45" ht="15" customHeight="1">
      <c r="A42" s="34" t="s">
        <v>99</v>
      </c>
      <c r="B42" s="34" t="s">
        <v>100</v>
      </c>
      <c r="C42" s="34" t="s">
        <v>101</v>
      </c>
      <c r="D42" s="36" t="s">
        <v>14</v>
      </c>
      <c r="E42" s="37" t="s">
        <v>14</v>
      </c>
      <c r="F42" s="38" t="s">
        <v>14</v>
      </c>
      <c r="G42" s="37"/>
      <c r="H42" s="37"/>
      <c r="I42" s="37"/>
      <c r="J42" s="36">
        <v>193960</v>
      </c>
      <c r="K42" s="37">
        <v>16453</v>
      </c>
      <c r="L42" s="45">
        <f t="shared" si="11"/>
        <v>210413</v>
      </c>
      <c r="M42" s="24">
        <v>206090</v>
      </c>
      <c r="N42" s="8">
        <v>18493</v>
      </c>
      <c r="O42" s="45">
        <f t="shared" si="7"/>
        <v>224583</v>
      </c>
      <c r="P42" s="24">
        <v>210212</v>
      </c>
      <c r="Q42" s="8">
        <v>68063</v>
      </c>
      <c r="R42" s="29">
        <f t="shared" si="9"/>
        <v>278275</v>
      </c>
      <c r="S42" s="24">
        <v>210212</v>
      </c>
      <c r="T42" s="8">
        <v>22356</v>
      </c>
      <c r="U42" s="29">
        <f t="shared" si="10"/>
        <v>232568</v>
      </c>
      <c r="V42" s="24"/>
      <c r="W42" s="8"/>
      <c r="X42" s="29"/>
      <c r="AE42" s="1"/>
    </row>
    <row r="43" spans="1:45" s="4" customFormat="1" ht="15" customHeight="1">
      <c r="A43" s="124" t="s">
        <v>102</v>
      </c>
      <c r="B43" s="124"/>
      <c r="C43" s="124"/>
      <c r="D43" s="124"/>
      <c r="E43" s="124"/>
      <c r="F43" s="21"/>
      <c r="G43" s="10"/>
      <c r="H43" s="10"/>
      <c r="I43" s="10"/>
      <c r="J43" s="11"/>
      <c r="K43" s="11"/>
      <c r="L43" s="21"/>
      <c r="M43" s="30"/>
      <c r="N43" s="11"/>
      <c r="O43" s="31"/>
      <c r="P43" s="30"/>
      <c r="Q43" s="11" t="s">
        <v>103</v>
      </c>
      <c r="R43" s="31"/>
      <c r="S43" s="30"/>
      <c r="T43" s="11"/>
      <c r="U43" s="31"/>
      <c r="V43" s="30"/>
      <c r="W43" s="11"/>
      <c r="X43" s="31"/>
      <c r="Y43" s="68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" customHeight="1">
      <c r="A44" s="34" t="s">
        <v>104</v>
      </c>
      <c r="B44" s="34" t="s">
        <v>105</v>
      </c>
      <c r="C44" s="34" t="s">
        <v>106</v>
      </c>
      <c r="D44" s="43">
        <v>199000.08</v>
      </c>
      <c r="E44" s="44">
        <v>15920.15</v>
      </c>
      <c r="F44" s="45">
        <f t="shared" ref="F44:F74" si="12">SUM(D44:E44)</f>
        <v>214920.22999999998</v>
      </c>
      <c r="G44" s="46"/>
      <c r="H44" s="46"/>
      <c r="I44" s="46"/>
      <c r="J44" s="43">
        <f>SUM(E44:F44)</f>
        <v>230840.37999999998</v>
      </c>
      <c r="K44" s="44" t="s">
        <v>107</v>
      </c>
      <c r="L44" s="45">
        <f t="shared" ref="L44:L61" si="13">SUM(J44:K44)</f>
        <v>230840.37999999998</v>
      </c>
      <c r="M44" s="43">
        <v>236000.16</v>
      </c>
      <c r="N44" s="44">
        <v>18880.080000000002</v>
      </c>
      <c r="O44" s="45">
        <f t="shared" ref="O44" si="14">SUM(M44:N44)</f>
        <v>254880.24</v>
      </c>
      <c r="P44" s="43">
        <v>236000.16</v>
      </c>
      <c r="Q44" s="44">
        <v>18880.080000000002</v>
      </c>
      <c r="R44" s="45">
        <f t="shared" ref="R44:R48" si="15">SUM(P44:Q44)</f>
        <v>254880.24</v>
      </c>
      <c r="S44" s="43">
        <v>236000.16</v>
      </c>
      <c r="T44" s="44">
        <v>18880.080000000002</v>
      </c>
      <c r="U44" s="45">
        <f>SUM(S44:T44)</f>
        <v>254880.24</v>
      </c>
      <c r="V44" s="24"/>
      <c r="W44" s="8"/>
      <c r="X44" s="29"/>
      <c r="Y44" s="69"/>
      <c r="Z44" s="39"/>
      <c r="AA44" s="40"/>
      <c r="AB44" s="40"/>
      <c r="AC44" s="41"/>
      <c r="AD44" s="42"/>
      <c r="AE44" s="1"/>
    </row>
    <row r="45" spans="1:45" ht="15" customHeight="1">
      <c r="A45" s="34" t="s">
        <v>108</v>
      </c>
      <c r="B45" s="84" t="s">
        <v>109</v>
      </c>
      <c r="C45" s="84" t="s">
        <v>109</v>
      </c>
      <c r="D45" s="47">
        <v>444386.17</v>
      </c>
      <c r="E45" s="85">
        <v>3885.55</v>
      </c>
      <c r="F45" s="45">
        <f t="shared" si="12"/>
        <v>448271.72</v>
      </c>
      <c r="G45" s="46"/>
      <c r="H45" s="46"/>
      <c r="I45" s="46"/>
      <c r="J45" s="47">
        <v>295000.12</v>
      </c>
      <c r="K45" s="85">
        <v>1364.69</v>
      </c>
      <c r="L45" s="45">
        <f t="shared" si="13"/>
        <v>296364.81</v>
      </c>
      <c r="M45" s="43">
        <v>295000</v>
      </c>
      <c r="N45" s="44">
        <v>1195.52</v>
      </c>
      <c r="O45" s="45">
        <f t="shared" ref="O45:O74" si="16">SUM(M45:N45)</f>
        <v>296195.52</v>
      </c>
      <c r="P45" s="43">
        <v>295000</v>
      </c>
      <c r="Q45" s="44">
        <v>1169.24</v>
      </c>
      <c r="R45" s="45">
        <f t="shared" si="15"/>
        <v>296169.24</v>
      </c>
      <c r="S45" s="43">
        <v>270000.12</v>
      </c>
      <c r="T45" s="8">
        <v>0</v>
      </c>
      <c r="U45" s="45">
        <f t="shared" ref="U45:U74" si="17">SUM(S45:T45)</f>
        <v>270000.12</v>
      </c>
      <c r="V45" s="24"/>
      <c r="W45" s="8"/>
      <c r="X45" s="29"/>
      <c r="Y45" s="86"/>
      <c r="Z45" s="39"/>
      <c r="AA45" s="40"/>
      <c r="AB45" s="40"/>
      <c r="AC45" s="41"/>
      <c r="AD45" s="42"/>
      <c r="AE45" s="1"/>
    </row>
    <row r="46" spans="1:45" ht="15" customHeight="1">
      <c r="A46" s="34" t="s">
        <v>110</v>
      </c>
      <c r="B46" s="34" t="s">
        <v>111</v>
      </c>
      <c r="C46" s="34" t="s">
        <v>112</v>
      </c>
      <c r="D46" s="43">
        <v>333576</v>
      </c>
      <c r="E46" s="44">
        <v>11000.58</v>
      </c>
      <c r="F46" s="45">
        <f t="shared" si="12"/>
        <v>344576.58</v>
      </c>
      <c r="G46" s="46"/>
      <c r="H46" s="46"/>
      <c r="I46" s="46"/>
      <c r="J46" s="43">
        <v>318576</v>
      </c>
      <c r="K46" s="44">
        <v>484.96</v>
      </c>
      <c r="L46" s="45">
        <f t="shared" si="13"/>
        <v>319060.96000000002</v>
      </c>
      <c r="M46" s="43">
        <v>318575.92</v>
      </c>
      <c r="N46" s="44">
        <v>11387.54</v>
      </c>
      <c r="O46" s="45">
        <f t="shared" si="16"/>
        <v>329963.45999999996</v>
      </c>
      <c r="P46" s="43">
        <v>318575.92</v>
      </c>
      <c r="Q46" s="44">
        <v>11437.34</v>
      </c>
      <c r="R46" s="45">
        <f t="shared" si="15"/>
        <v>330013.26</v>
      </c>
      <c r="S46" s="43">
        <v>318575.92</v>
      </c>
      <c r="T46" s="44">
        <v>11455.34</v>
      </c>
      <c r="U46" s="45">
        <f t="shared" si="17"/>
        <v>330031.26</v>
      </c>
      <c r="V46" s="24"/>
      <c r="W46" s="8"/>
      <c r="X46" s="29"/>
      <c r="Y46" s="69"/>
      <c r="Z46" s="39"/>
      <c r="AA46" s="40"/>
      <c r="AB46" s="40"/>
      <c r="AC46" s="41"/>
      <c r="AD46" s="42"/>
      <c r="AE46" s="1"/>
    </row>
    <row r="47" spans="1:45" ht="15" customHeight="1">
      <c r="A47" s="34" t="s">
        <v>113</v>
      </c>
      <c r="B47" s="34" t="s">
        <v>114</v>
      </c>
      <c r="C47" s="34" t="s">
        <v>115</v>
      </c>
      <c r="D47" s="43">
        <v>358473.07</v>
      </c>
      <c r="E47" s="44">
        <v>45704</v>
      </c>
      <c r="F47" s="45">
        <f t="shared" si="12"/>
        <v>404177.07</v>
      </c>
      <c r="G47" s="46"/>
      <c r="H47" s="46"/>
      <c r="I47" s="46"/>
      <c r="J47" s="43">
        <v>377856.12</v>
      </c>
      <c r="K47" s="44">
        <v>24089</v>
      </c>
      <c r="L47" s="45">
        <f t="shared" si="13"/>
        <v>401945.12</v>
      </c>
      <c r="M47" s="43">
        <v>160076.12</v>
      </c>
      <c r="N47" s="44">
        <v>29539.85</v>
      </c>
      <c r="O47" s="45">
        <f t="shared" si="16"/>
        <v>189615.97</v>
      </c>
      <c r="P47" s="43">
        <v>358481.62</v>
      </c>
      <c r="Q47" s="44">
        <v>42378.68</v>
      </c>
      <c r="R47" s="45">
        <f t="shared" si="15"/>
        <v>400860.3</v>
      </c>
      <c r="S47" s="43">
        <v>358481.62</v>
      </c>
      <c r="T47" s="44">
        <v>41961.68</v>
      </c>
      <c r="U47" s="45">
        <f t="shared" si="17"/>
        <v>400443.3</v>
      </c>
      <c r="V47" s="24"/>
      <c r="W47" s="8"/>
      <c r="X47" s="29"/>
      <c r="Y47" s="69"/>
      <c r="Z47" s="39"/>
      <c r="AA47" s="40"/>
      <c r="AB47" s="40"/>
      <c r="AC47" s="41"/>
      <c r="AD47" s="42"/>
      <c r="AE47" s="1"/>
    </row>
    <row r="48" spans="1:45" ht="15" customHeight="1">
      <c r="A48" s="34" t="s">
        <v>116</v>
      </c>
      <c r="B48" s="34" t="s">
        <v>117</v>
      </c>
      <c r="C48" s="34" t="s">
        <v>118</v>
      </c>
      <c r="D48" s="43">
        <v>210799.98</v>
      </c>
      <c r="E48" s="44">
        <v>670.08</v>
      </c>
      <c r="F48" s="45">
        <f t="shared" si="12"/>
        <v>211470.06</v>
      </c>
      <c r="G48" s="46"/>
      <c r="H48" s="46"/>
      <c r="I48" s="46"/>
      <c r="J48" s="43">
        <v>245259.84</v>
      </c>
      <c r="K48" s="44">
        <v>479.52</v>
      </c>
      <c r="L48" s="45">
        <f t="shared" si="13"/>
        <v>245739.36</v>
      </c>
      <c r="M48" s="43">
        <v>250906</v>
      </c>
      <c r="N48" s="44">
        <v>466.56</v>
      </c>
      <c r="O48" s="45">
        <f t="shared" si="16"/>
        <v>251372.56</v>
      </c>
      <c r="P48" s="43">
        <v>250992.48</v>
      </c>
      <c r="Q48" s="44">
        <v>336.96</v>
      </c>
      <c r="R48" s="45">
        <f t="shared" si="15"/>
        <v>251329.44</v>
      </c>
      <c r="S48" s="43">
        <v>251068.56</v>
      </c>
      <c r="T48" s="46">
        <v>413.04</v>
      </c>
      <c r="U48" s="45">
        <f t="shared" si="17"/>
        <v>251481.60000000001</v>
      </c>
      <c r="V48" s="24"/>
      <c r="W48" s="8"/>
      <c r="X48" s="29"/>
      <c r="Y48" s="69"/>
      <c r="Z48" s="39"/>
      <c r="AA48" s="40"/>
      <c r="AB48" s="40"/>
      <c r="AC48" s="41"/>
      <c r="AD48" s="42"/>
      <c r="AE48" s="1"/>
    </row>
    <row r="49" spans="1:31" ht="15" customHeight="1">
      <c r="A49" s="34" t="s">
        <v>119</v>
      </c>
      <c r="B49" s="34" t="s">
        <v>120</v>
      </c>
      <c r="C49" s="34" t="s">
        <v>120</v>
      </c>
      <c r="D49" s="43">
        <v>236469.96</v>
      </c>
      <c r="E49" s="44">
        <v>1036.8</v>
      </c>
      <c r="F49" s="45">
        <f t="shared" si="12"/>
        <v>237506.75999999998</v>
      </c>
      <c r="G49" s="46"/>
      <c r="H49" s="46"/>
      <c r="I49" s="46"/>
      <c r="J49" s="43">
        <v>252176.06</v>
      </c>
      <c r="K49" s="44">
        <v>1788.08</v>
      </c>
      <c r="L49" s="45">
        <f t="shared" si="13"/>
        <v>253964.13999999998</v>
      </c>
      <c r="M49" s="43">
        <v>255634</v>
      </c>
      <c r="N49" s="44">
        <v>1176.1199999999999</v>
      </c>
      <c r="O49" s="45">
        <f t="shared" si="16"/>
        <v>256810.12</v>
      </c>
      <c r="P49" s="43">
        <v>425388</v>
      </c>
      <c r="Q49" s="44">
        <v>928.44</v>
      </c>
      <c r="R49" s="45">
        <f>SUM(P49:Q49)</f>
        <v>426316.44</v>
      </c>
      <c r="S49" s="43">
        <v>392843.75</v>
      </c>
      <c r="T49" s="46">
        <v>895.8</v>
      </c>
      <c r="U49" s="45">
        <f t="shared" si="17"/>
        <v>393739.55</v>
      </c>
      <c r="V49" s="24"/>
      <c r="W49" s="8"/>
      <c r="X49" s="29"/>
      <c r="Y49" s="69"/>
      <c r="Z49" s="39"/>
      <c r="AA49" s="40"/>
      <c r="AB49" s="40"/>
      <c r="AC49" s="41"/>
      <c r="AD49" s="42"/>
      <c r="AE49" s="1"/>
    </row>
    <row r="50" spans="1:31" ht="15" customHeight="1">
      <c r="A50" s="34" t="s">
        <v>121</v>
      </c>
      <c r="B50" s="34" t="s">
        <v>122</v>
      </c>
      <c r="C50" s="34" t="s">
        <v>123</v>
      </c>
      <c r="D50" s="43">
        <v>243233.92000000001</v>
      </c>
      <c r="E50" s="44">
        <v>10841.87</v>
      </c>
      <c r="F50" s="45">
        <f t="shared" si="12"/>
        <v>254075.79</v>
      </c>
      <c r="G50" s="46"/>
      <c r="H50" s="46"/>
      <c r="I50" s="46"/>
      <c r="J50" s="43">
        <v>249558</v>
      </c>
      <c r="K50" s="44">
        <v>10163.709999999999</v>
      </c>
      <c r="L50" s="45">
        <f t="shared" si="13"/>
        <v>259721.71</v>
      </c>
      <c r="M50" s="43">
        <v>508650</v>
      </c>
      <c r="N50" s="44">
        <v>1601.27</v>
      </c>
      <c r="O50" s="45">
        <f t="shared" si="16"/>
        <v>510251.27</v>
      </c>
      <c r="P50" s="43">
        <v>125000</v>
      </c>
      <c r="Q50" s="44">
        <v>1332.7</v>
      </c>
      <c r="R50" s="45">
        <f t="shared" ref="R50:R74" si="18">SUM(P50:Q50)</f>
        <v>126332.7</v>
      </c>
      <c r="S50" s="43">
        <v>300000</v>
      </c>
      <c r="T50" s="46">
        <v>3666.24</v>
      </c>
      <c r="U50" s="45">
        <f t="shared" si="17"/>
        <v>303666.24</v>
      </c>
      <c r="V50" s="24"/>
      <c r="W50" s="8"/>
      <c r="X50" s="29"/>
      <c r="Y50" s="69"/>
      <c r="Z50" s="39"/>
      <c r="AA50" s="40"/>
      <c r="AB50" s="40"/>
      <c r="AC50" s="41"/>
      <c r="AD50" s="42"/>
      <c r="AE50" s="1"/>
    </row>
    <row r="51" spans="1:31" ht="15" customHeight="1">
      <c r="A51" s="34" t="s">
        <v>124</v>
      </c>
      <c r="B51" s="34" t="s">
        <v>125</v>
      </c>
      <c r="C51" s="34" t="s">
        <v>126</v>
      </c>
      <c r="D51" s="43">
        <v>360000</v>
      </c>
      <c r="E51" s="44">
        <v>1250.96</v>
      </c>
      <c r="F51" s="45">
        <f t="shared" si="12"/>
        <v>361250.96</v>
      </c>
      <c r="G51" s="46"/>
      <c r="H51" s="46"/>
      <c r="I51" s="46"/>
      <c r="J51" s="43">
        <v>360041.39</v>
      </c>
      <c r="K51" s="44">
        <v>1186.4000000000001</v>
      </c>
      <c r="L51" s="45">
        <f t="shared" si="13"/>
        <v>361227.79000000004</v>
      </c>
      <c r="M51" s="43">
        <v>360044</v>
      </c>
      <c r="N51" s="44">
        <v>1224</v>
      </c>
      <c r="O51" s="45">
        <f t="shared" si="16"/>
        <v>361268</v>
      </c>
      <c r="P51" s="43">
        <v>360046.95</v>
      </c>
      <c r="Q51" s="44">
        <v>1175.5999999999999</v>
      </c>
      <c r="R51" s="45">
        <f t="shared" si="18"/>
        <v>361222.55</v>
      </c>
      <c r="S51" s="43">
        <v>360046.95</v>
      </c>
      <c r="T51" s="46">
        <v>1164</v>
      </c>
      <c r="U51" s="45">
        <f t="shared" si="17"/>
        <v>361210.95</v>
      </c>
      <c r="V51" s="24"/>
      <c r="W51" s="8"/>
      <c r="X51" s="29"/>
      <c r="Y51" s="69"/>
      <c r="Z51" s="39"/>
      <c r="AA51" s="40"/>
      <c r="AB51" s="40"/>
      <c r="AC51" s="41"/>
      <c r="AD51" s="42"/>
      <c r="AE51" s="1"/>
    </row>
    <row r="52" spans="1:31" ht="15" customHeight="1">
      <c r="A52" s="34" t="s">
        <v>127</v>
      </c>
      <c r="B52" s="34" t="s">
        <v>128</v>
      </c>
      <c r="C52" s="34" t="s">
        <v>129</v>
      </c>
      <c r="D52" s="43">
        <v>260027</v>
      </c>
      <c r="E52" s="44">
        <v>15884.1</v>
      </c>
      <c r="F52" s="45">
        <f t="shared" si="12"/>
        <v>275911.09999999998</v>
      </c>
      <c r="G52" s="46"/>
      <c r="H52" s="46"/>
      <c r="I52" s="46"/>
      <c r="J52" s="43">
        <v>235427</v>
      </c>
      <c r="K52" s="44">
        <v>9726.26</v>
      </c>
      <c r="L52" s="45">
        <f t="shared" si="13"/>
        <v>245153.26</v>
      </c>
      <c r="M52" s="43">
        <v>300079</v>
      </c>
      <c r="N52" s="44">
        <v>15558.81</v>
      </c>
      <c r="O52" s="45">
        <f t="shared" si="16"/>
        <v>315637.81</v>
      </c>
      <c r="P52" s="43">
        <v>286815</v>
      </c>
      <c r="Q52" s="44">
        <v>7881.75</v>
      </c>
      <c r="R52" s="45">
        <f t="shared" si="18"/>
        <v>294696.75</v>
      </c>
      <c r="S52" s="43">
        <v>280013.25</v>
      </c>
      <c r="T52" s="46">
        <v>15504.08</v>
      </c>
      <c r="U52" s="45">
        <f t="shared" si="17"/>
        <v>295517.33</v>
      </c>
      <c r="V52" s="24"/>
      <c r="W52" s="8"/>
      <c r="X52" s="29"/>
      <c r="Y52" s="69"/>
      <c r="Z52" s="39"/>
      <c r="AA52" s="40"/>
      <c r="AB52" s="40"/>
      <c r="AC52" s="41"/>
      <c r="AD52" s="42"/>
      <c r="AE52" s="1"/>
    </row>
    <row r="53" spans="1:31" ht="15" customHeight="1">
      <c r="A53" s="34" t="s">
        <v>130</v>
      </c>
      <c r="B53" s="34" t="s">
        <v>131</v>
      </c>
      <c r="C53" s="34" t="s">
        <v>132</v>
      </c>
      <c r="D53" s="43">
        <v>387287.2</v>
      </c>
      <c r="E53" s="44">
        <v>22999.759999999998</v>
      </c>
      <c r="F53" s="45">
        <f t="shared" si="12"/>
        <v>410286.96</v>
      </c>
      <c r="G53" s="46"/>
      <c r="H53" s="46"/>
      <c r="I53" s="46"/>
      <c r="J53" s="43">
        <v>387287.46</v>
      </c>
      <c r="K53" s="44">
        <v>10614.22</v>
      </c>
      <c r="L53" s="45">
        <f t="shared" si="13"/>
        <v>397901.68</v>
      </c>
      <c r="M53" s="43">
        <v>389837</v>
      </c>
      <c r="N53" s="44">
        <v>10587.4</v>
      </c>
      <c r="O53" s="45">
        <f t="shared" si="16"/>
        <v>400424.4</v>
      </c>
      <c r="P53" s="43">
        <v>348906</v>
      </c>
      <c r="Q53" s="44">
        <v>10189.27</v>
      </c>
      <c r="R53" s="45">
        <f t="shared" si="18"/>
        <v>359095.27</v>
      </c>
      <c r="S53" s="43">
        <v>389667.49</v>
      </c>
      <c r="T53" s="46">
        <v>10372.51</v>
      </c>
      <c r="U53" s="45">
        <f t="shared" si="17"/>
        <v>400040</v>
      </c>
      <c r="V53" s="24"/>
      <c r="W53" s="8"/>
      <c r="X53" s="29"/>
      <c r="Y53" s="69"/>
      <c r="Z53" s="39"/>
      <c r="AA53" s="40"/>
      <c r="AB53" s="40"/>
      <c r="AC53" s="41"/>
      <c r="AD53" s="42"/>
      <c r="AE53" s="1"/>
    </row>
    <row r="54" spans="1:31" ht="15" customHeight="1">
      <c r="A54" s="34" t="s">
        <v>133</v>
      </c>
      <c r="B54" s="34" t="s">
        <v>134</v>
      </c>
      <c r="C54" s="34" t="s">
        <v>135</v>
      </c>
      <c r="D54" s="43">
        <v>272792.23</v>
      </c>
      <c r="E54" s="44">
        <v>2772</v>
      </c>
      <c r="F54" s="45">
        <f t="shared" si="12"/>
        <v>275564.23</v>
      </c>
      <c r="G54" s="46"/>
      <c r="H54" s="46"/>
      <c r="I54" s="46"/>
      <c r="J54" s="43">
        <v>277599.92</v>
      </c>
      <c r="K54" s="44">
        <v>1506.52</v>
      </c>
      <c r="L54" s="45">
        <f t="shared" si="13"/>
        <v>279106.44</v>
      </c>
      <c r="M54" s="43">
        <v>277600</v>
      </c>
      <c r="N54" s="44">
        <v>1279.3599999999999</v>
      </c>
      <c r="O54" s="45">
        <f t="shared" si="16"/>
        <v>278879.35999999999</v>
      </c>
      <c r="P54" s="43">
        <v>278800</v>
      </c>
      <c r="Q54" s="44">
        <v>1221.8399999999999</v>
      </c>
      <c r="R54" s="45">
        <f t="shared" si="18"/>
        <v>280021.84000000003</v>
      </c>
      <c r="S54" s="43">
        <v>281164.52</v>
      </c>
      <c r="T54" s="46">
        <v>1216.56</v>
      </c>
      <c r="U54" s="45">
        <f t="shared" si="17"/>
        <v>282381.08</v>
      </c>
      <c r="V54" s="24"/>
      <c r="W54" s="8"/>
      <c r="X54" s="29"/>
      <c r="Y54" s="69"/>
      <c r="Z54" s="39"/>
      <c r="AA54" s="40"/>
      <c r="AB54" s="40"/>
      <c r="AC54" s="41"/>
      <c r="AD54" s="42"/>
      <c r="AE54" s="1"/>
    </row>
    <row r="55" spans="1:31" ht="15" customHeight="1">
      <c r="A55" s="34" t="s">
        <v>136</v>
      </c>
      <c r="B55" s="34" t="s">
        <v>137</v>
      </c>
      <c r="C55" s="34" t="s">
        <v>137</v>
      </c>
      <c r="D55" s="43">
        <v>257500.1</v>
      </c>
      <c r="E55" s="44">
        <v>25406.06</v>
      </c>
      <c r="F55" s="45">
        <f t="shared" si="12"/>
        <v>282906.16000000003</v>
      </c>
      <c r="G55" s="46"/>
      <c r="H55" s="46"/>
      <c r="I55" s="46"/>
      <c r="J55" s="43">
        <v>258000.1</v>
      </c>
      <c r="K55" s="44">
        <v>25311.22</v>
      </c>
      <c r="L55" s="45">
        <f t="shared" si="13"/>
        <v>283311.32</v>
      </c>
      <c r="M55" s="43">
        <v>257500</v>
      </c>
      <c r="N55" s="44">
        <v>25311.22</v>
      </c>
      <c r="O55" s="45">
        <f t="shared" si="16"/>
        <v>282811.21999999997</v>
      </c>
      <c r="P55" s="43">
        <v>251062.57</v>
      </c>
      <c r="Q55" s="44">
        <v>25122.400000000001</v>
      </c>
      <c r="R55" s="45">
        <f t="shared" si="18"/>
        <v>276184.97000000003</v>
      </c>
      <c r="S55" s="43">
        <v>299418.39</v>
      </c>
      <c r="T55" s="46">
        <v>12632.33</v>
      </c>
      <c r="U55" s="45">
        <f t="shared" si="17"/>
        <v>312050.72000000003</v>
      </c>
      <c r="V55" s="24"/>
      <c r="W55" s="8"/>
      <c r="X55" s="29"/>
      <c r="Y55" s="69"/>
      <c r="Z55" s="39"/>
      <c r="AA55" s="40"/>
      <c r="AB55" s="40"/>
      <c r="AC55" s="41"/>
      <c r="AD55" s="42"/>
      <c r="AE55" s="1"/>
    </row>
    <row r="56" spans="1:31" ht="15" customHeight="1">
      <c r="A56" s="34" t="s">
        <v>138</v>
      </c>
      <c r="B56" s="34" t="s">
        <v>139</v>
      </c>
      <c r="C56" s="34" t="s">
        <v>131</v>
      </c>
      <c r="D56" s="43">
        <v>362200</v>
      </c>
      <c r="E56" s="44">
        <v>26618.49</v>
      </c>
      <c r="F56" s="45">
        <f t="shared" si="12"/>
        <v>388818.49</v>
      </c>
      <c r="G56" s="46"/>
      <c r="H56" s="46"/>
      <c r="I56" s="46"/>
      <c r="J56" s="43">
        <v>360000</v>
      </c>
      <c r="K56" s="44">
        <v>26629.919999999998</v>
      </c>
      <c r="L56" s="45">
        <f t="shared" si="13"/>
        <v>386629.92</v>
      </c>
      <c r="M56" s="43">
        <v>410379.48</v>
      </c>
      <c r="N56" s="44">
        <v>4923.6400000000003</v>
      </c>
      <c r="O56" s="45">
        <f t="shared" si="16"/>
        <v>415303.12</v>
      </c>
      <c r="P56" s="43">
        <v>207879.48</v>
      </c>
      <c r="Q56" s="44">
        <v>286</v>
      </c>
      <c r="R56" s="45">
        <f t="shared" si="18"/>
        <v>208165.48</v>
      </c>
      <c r="S56" s="43">
        <v>415758.96</v>
      </c>
      <c r="T56" s="46">
        <v>730.38</v>
      </c>
      <c r="U56" s="45">
        <f t="shared" si="17"/>
        <v>416489.34</v>
      </c>
      <c r="V56" s="24"/>
      <c r="W56" s="8"/>
      <c r="X56" s="29"/>
      <c r="Y56" s="69"/>
      <c r="Z56" s="39"/>
      <c r="AA56" s="40"/>
      <c r="AB56" s="40"/>
      <c r="AC56" s="41"/>
      <c r="AD56" s="42"/>
      <c r="AE56" s="1"/>
    </row>
    <row r="57" spans="1:31" ht="15" customHeight="1">
      <c r="A57" s="34" t="s">
        <v>140</v>
      </c>
      <c r="B57" s="34" t="s">
        <v>141</v>
      </c>
      <c r="C57" s="34" t="s">
        <v>141</v>
      </c>
      <c r="D57" s="43">
        <v>370475.04</v>
      </c>
      <c r="E57" s="44">
        <v>20575.55</v>
      </c>
      <c r="F57" s="45">
        <f t="shared" si="12"/>
        <v>391050.58999999997</v>
      </c>
      <c r="G57" s="46"/>
      <c r="H57" s="46"/>
      <c r="I57" s="46"/>
      <c r="J57" s="43">
        <v>410475.04</v>
      </c>
      <c r="K57" s="44">
        <v>45561.52</v>
      </c>
      <c r="L57" s="45">
        <f t="shared" si="13"/>
        <v>456036.56</v>
      </c>
      <c r="M57" s="43">
        <v>410475.04</v>
      </c>
      <c r="N57" s="44">
        <v>46996.13</v>
      </c>
      <c r="O57" s="45">
        <f t="shared" si="16"/>
        <v>457471.17</v>
      </c>
      <c r="P57" s="43">
        <v>410475.04</v>
      </c>
      <c r="Q57" s="44">
        <v>48741.3</v>
      </c>
      <c r="R57" s="45">
        <f t="shared" si="18"/>
        <v>459216.33999999997</v>
      </c>
      <c r="S57" s="43">
        <v>427471.19</v>
      </c>
      <c r="T57" s="46">
        <v>47044.45</v>
      </c>
      <c r="U57" s="45">
        <f t="shared" si="17"/>
        <v>474515.64</v>
      </c>
      <c r="V57" s="24"/>
      <c r="W57" s="8"/>
      <c r="X57" s="29"/>
      <c r="Y57" s="69"/>
      <c r="Z57" s="87"/>
      <c r="AA57" s="40"/>
      <c r="AB57" s="40"/>
      <c r="AC57" s="41"/>
      <c r="AD57" s="42"/>
      <c r="AE57" s="1"/>
    </row>
    <row r="58" spans="1:31" ht="15" customHeight="1">
      <c r="A58" s="34" t="s">
        <v>142</v>
      </c>
      <c r="B58" s="34" t="s">
        <v>143</v>
      </c>
      <c r="C58" s="34" t="s">
        <v>144</v>
      </c>
      <c r="D58" s="88">
        <v>220000.08</v>
      </c>
      <c r="E58" s="89">
        <v>669.84</v>
      </c>
      <c r="F58" s="45">
        <f t="shared" si="12"/>
        <v>220669.91999999998</v>
      </c>
      <c r="G58" s="46"/>
      <c r="H58" s="46"/>
      <c r="I58" s="46"/>
      <c r="J58" s="88">
        <v>226666.72</v>
      </c>
      <c r="K58" s="89">
        <v>718.99</v>
      </c>
      <c r="L58" s="45">
        <f t="shared" si="13"/>
        <v>227385.71</v>
      </c>
      <c r="M58" s="43">
        <v>238950</v>
      </c>
      <c r="N58" s="44">
        <v>672.1</v>
      </c>
      <c r="O58" s="45">
        <f t="shared" si="16"/>
        <v>239622.1</v>
      </c>
      <c r="P58" s="88">
        <v>212616.72</v>
      </c>
      <c r="Q58" s="89">
        <v>584.32000000000005</v>
      </c>
      <c r="R58" s="45">
        <f t="shared" si="18"/>
        <v>213201.04</v>
      </c>
      <c r="S58" s="43">
        <v>117592.73</v>
      </c>
      <c r="T58" s="46">
        <v>139.32</v>
      </c>
      <c r="U58" s="45">
        <f t="shared" si="17"/>
        <v>117732.05</v>
      </c>
      <c r="V58" s="24"/>
      <c r="W58" s="8"/>
      <c r="X58" s="29"/>
      <c r="Y58" s="69"/>
      <c r="Z58" s="39"/>
      <c r="AA58" s="40"/>
      <c r="AB58" s="40"/>
      <c r="AC58" s="41"/>
      <c r="AD58" s="42"/>
      <c r="AE58" s="1"/>
    </row>
    <row r="59" spans="1:31" ht="15" customHeight="1">
      <c r="A59" s="34" t="s">
        <v>145</v>
      </c>
      <c r="B59" s="34" t="s">
        <v>146</v>
      </c>
      <c r="C59" s="34" t="s">
        <v>147</v>
      </c>
      <c r="D59" s="24">
        <v>128403</v>
      </c>
      <c r="E59" s="44">
        <v>606.78</v>
      </c>
      <c r="F59" s="45">
        <f t="shared" si="12"/>
        <v>129009.78</v>
      </c>
      <c r="G59" s="46"/>
      <c r="H59" s="46"/>
      <c r="I59" s="46"/>
      <c r="J59" s="24">
        <v>231019.41</v>
      </c>
      <c r="K59" s="44">
        <v>3354.86</v>
      </c>
      <c r="L59" s="45">
        <f t="shared" si="13"/>
        <v>234374.27</v>
      </c>
      <c r="M59" s="24">
        <v>168265.68</v>
      </c>
      <c r="N59" s="44">
        <v>3859.24</v>
      </c>
      <c r="O59" s="45">
        <f t="shared" si="16"/>
        <v>172124.91999999998</v>
      </c>
      <c r="P59" s="88" t="s">
        <v>14</v>
      </c>
      <c r="Q59" s="37" t="s">
        <v>14</v>
      </c>
      <c r="R59" s="45" t="s">
        <v>14</v>
      </c>
      <c r="S59" s="43">
        <v>144999.96</v>
      </c>
      <c r="T59" s="46">
        <v>3658.56</v>
      </c>
      <c r="U59" s="45">
        <f t="shared" si="17"/>
        <v>148658.51999999999</v>
      </c>
      <c r="V59" s="24"/>
      <c r="W59" s="8"/>
      <c r="X59" s="29"/>
      <c r="Y59" s="69"/>
      <c r="Z59" s="39"/>
      <c r="AA59" s="40"/>
      <c r="AB59" s="40"/>
      <c r="AC59" s="41"/>
      <c r="AD59" s="42"/>
      <c r="AE59" s="1"/>
    </row>
    <row r="60" spans="1:31" ht="15" customHeight="1">
      <c r="A60" s="34" t="s">
        <v>148</v>
      </c>
      <c r="B60" s="34" t="s">
        <v>149</v>
      </c>
      <c r="C60" s="34" t="s">
        <v>149</v>
      </c>
      <c r="D60" s="43">
        <v>305000.03999999998</v>
      </c>
      <c r="E60" s="44">
        <v>23748.76</v>
      </c>
      <c r="F60" s="45">
        <f t="shared" si="12"/>
        <v>328748.79999999999</v>
      </c>
      <c r="G60" s="46"/>
      <c r="H60" s="46"/>
      <c r="I60" s="46"/>
      <c r="J60" s="43">
        <v>305000.03999999998</v>
      </c>
      <c r="K60" s="44">
        <v>24437.85</v>
      </c>
      <c r="L60" s="45">
        <f t="shared" si="13"/>
        <v>329437.88999999996</v>
      </c>
      <c r="M60" s="24">
        <v>305000.03999999998</v>
      </c>
      <c r="N60" s="44">
        <v>24247.8</v>
      </c>
      <c r="O60" s="45">
        <f t="shared" si="16"/>
        <v>329247.83999999997</v>
      </c>
      <c r="P60" s="88">
        <v>292057.18</v>
      </c>
      <c r="Q60" s="89">
        <v>23767.4</v>
      </c>
      <c r="R60" s="45">
        <f t="shared" si="18"/>
        <v>315824.58</v>
      </c>
      <c r="S60" s="43">
        <v>316731.59999999998</v>
      </c>
      <c r="T60" s="46">
        <v>25006.75</v>
      </c>
      <c r="U60" s="45">
        <f t="shared" si="17"/>
        <v>341738.35</v>
      </c>
      <c r="V60" s="24"/>
      <c r="W60" s="8"/>
      <c r="X60" s="29"/>
      <c r="Y60" s="69"/>
      <c r="Z60" s="39"/>
      <c r="AA60" s="40"/>
      <c r="AB60" s="40"/>
      <c r="AC60" s="41"/>
      <c r="AD60" s="42"/>
      <c r="AE60" s="1"/>
    </row>
    <row r="61" spans="1:31" ht="15" customHeight="1">
      <c r="A61" s="34" t="s">
        <v>150</v>
      </c>
      <c r="B61" s="34" t="s">
        <v>151</v>
      </c>
      <c r="C61" s="34" t="s">
        <v>152</v>
      </c>
      <c r="D61" s="43">
        <v>105650.32</v>
      </c>
      <c r="E61" s="44">
        <v>0</v>
      </c>
      <c r="F61" s="45">
        <f t="shared" si="12"/>
        <v>105650.32</v>
      </c>
      <c r="G61" s="90">
        <v>105435</v>
      </c>
      <c r="H61" s="46"/>
      <c r="I61" s="46"/>
      <c r="J61" s="43">
        <v>130110</v>
      </c>
      <c r="K61" s="37" t="s">
        <v>14</v>
      </c>
      <c r="L61" s="45">
        <f t="shared" si="13"/>
        <v>130110</v>
      </c>
      <c r="M61" s="24">
        <v>139265</v>
      </c>
      <c r="N61" s="91" t="s">
        <v>14</v>
      </c>
      <c r="O61" s="45">
        <f t="shared" si="16"/>
        <v>139265</v>
      </c>
      <c r="P61" s="43">
        <v>139264</v>
      </c>
      <c r="Q61" s="37" t="s">
        <v>14</v>
      </c>
      <c r="R61" s="45">
        <f t="shared" si="18"/>
        <v>139264</v>
      </c>
      <c r="S61" s="43">
        <v>139264.73000000001</v>
      </c>
      <c r="T61" s="37" t="s">
        <v>14</v>
      </c>
      <c r="U61" s="45">
        <f t="shared" si="17"/>
        <v>139264.73000000001</v>
      </c>
      <c r="V61" s="24"/>
      <c r="W61" s="8"/>
      <c r="X61" s="29"/>
      <c r="Y61" s="69"/>
      <c r="Z61" s="39"/>
      <c r="AA61" s="40"/>
      <c r="AB61" s="40"/>
      <c r="AC61" s="41"/>
      <c r="AD61" s="42"/>
      <c r="AE61" s="1"/>
    </row>
    <row r="62" spans="1:31" ht="15" customHeight="1">
      <c r="A62" s="34" t="s">
        <v>153</v>
      </c>
      <c r="B62" s="34" t="s">
        <v>154</v>
      </c>
      <c r="C62" s="34" t="s">
        <v>155</v>
      </c>
      <c r="D62" s="49">
        <v>394999.92</v>
      </c>
      <c r="E62" s="91">
        <v>1303.97</v>
      </c>
      <c r="F62" s="45">
        <f t="shared" si="12"/>
        <v>396303.88999999996</v>
      </c>
      <c r="G62" s="46"/>
      <c r="H62" s="46"/>
      <c r="I62" s="46"/>
      <c r="J62" s="49">
        <v>394999.92</v>
      </c>
      <c r="K62" s="37" t="s">
        <v>14</v>
      </c>
      <c r="L62" s="45">
        <f t="shared" ref="L62:L74" si="19">SUM(J62:K62)</f>
        <v>394999.92</v>
      </c>
      <c r="M62" s="24">
        <v>399616.08</v>
      </c>
      <c r="N62" s="44">
        <v>14400</v>
      </c>
      <c r="O62" s="45">
        <f t="shared" si="16"/>
        <v>414016.08</v>
      </c>
      <c r="P62" s="24">
        <v>399616.08</v>
      </c>
      <c r="Q62" s="44">
        <v>14400</v>
      </c>
      <c r="R62" s="45">
        <f t="shared" si="18"/>
        <v>414016.08</v>
      </c>
      <c r="S62" s="43">
        <v>399616.08</v>
      </c>
      <c r="T62" s="46">
        <v>14400</v>
      </c>
      <c r="U62" s="45">
        <f t="shared" si="17"/>
        <v>414016.08</v>
      </c>
      <c r="V62" s="24"/>
      <c r="W62" s="8"/>
      <c r="X62" s="29"/>
      <c r="Y62" s="69"/>
      <c r="Z62" s="39"/>
      <c r="AA62" s="40"/>
      <c r="AB62" s="40"/>
      <c r="AC62" s="41"/>
      <c r="AD62" s="42"/>
      <c r="AE62" s="1"/>
    </row>
    <row r="63" spans="1:31" ht="15" customHeight="1">
      <c r="A63" s="34" t="s">
        <v>156</v>
      </c>
      <c r="B63" s="34" t="s">
        <v>157</v>
      </c>
      <c r="C63" s="34"/>
      <c r="D63" s="43">
        <v>108988.52</v>
      </c>
      <c r="E63" s="44">
        <v>702.4</v>
      </c>
      <c r="F63" s="45">
        <f t="shared" si="12"/>
        <v>109690.92</v>
      </c>
      <c r="G63" s="46"/>
      <c r="H63" s="46"/>
      <c r="I63" s="46"/>
      <c r="J63" s="43">
        <v>127681.44</v>
      </c>
      <c r="K63" s="44">
        <v>413.8</v>
      </c>
      <c r="L63" s="45">
        <f t="shared" si="19"/>
        <v>128095.24</v>
      </c>
      <c r="M63" s="49">
        <v>167732.25</v>
      </c>
      <c r="N63" s="91">
        <v>556.83000000000004</v>
      </c>
      <c r="O63" s="45">
        <f t="shared" si="16"/>
        <v>168289.08</v>
      </c>
      <c r="P63" s="49">
        <v>179335</v>
      </c>
      <c r="Q63" s="91">
        <v>533</v>
      </c>
      <c r="R63" s="45">
        <f t="shared" si="18"/>
        <v>179868</v>
      </c>
      <c r="S63" s="43">
        <v>189205.16</v>
      </c>
      <c r="T63" s="46">
        <v>535.96</v>
      </c>
      <c r="U63" s="45">
        <f t="shared" si="17"/>
        <v>189741.12</v>
      </c>
      <c r="V63" s="24"/>
      <c r="W63" s="8"/>
      <c r="X63" s="29"/>
      <c r="Y63" s="92"/>
      <c r="Z63" s="39"/>
      <c r="AA63" s="40"/>
      <c r="AB63" s="40"/>
      <c r="AC63" s="41"/>
      <c r="AD63" s="42"/>
      <c r="AE63" s="1"/>
    </row>
    <row r="64" spans="1:31" ht="15" customHeight="1">
      <c r="A64" s="34" t="s">
        <v>158</v>
      </c>
      <c r="B64" s="34" t="s">
        <v>159</v>
      </c>
      <c r="C64" s="34" t="s">
        <v>160</v>
      </c>
      <c r="D64" s="49">
        <v>440589.92</v>
      </c>
      <c r="E64" s="91">
        <v>25102.11</v>
      </c>
      <c r="F64" s="45">
        <f t="shared" si="12"/>
        <v>465692.02999999997</v>
      </c>
      <c r="G64" s="46"/>
      <c r="H64" s="46"/>
      <c r="I64" s="46"/>
      <c r="J64" s="49">
        <v>423648.06</v>
      </c>
      <c r="K64" s="91">
        <v>68885.19</v>
      </c>
      <c r="L64" s="45">
        <f t="shared" si="19"/>
        <v>492533.25</v>
      </c>
      <c r="M64" s="49">
        <v>423648.06</v>
      </c>
      <c r="N64" s="91">
        <v>32745.79</v>
      </c>
      <c r="O64" s="45">
        <f t="shared" si="16"/>
        <v>456393.85</v>
      </c>
      <c r="P64" s="49">
        <v>423648.06</v>
      </c>
      <c r="Q64" s="91">
        <v>33969.82</v>
      </c>
      <c r="R64" s="45">
        <f t="shared" si="18"/>
        <v>457617.88</v>
      </c>
      <c r="S64" s="43">
        <v>469069.01</v>
      </c>
      <c r="T64" s="46">
        <v>14528.26</v>
      </c>
      <c r="U64" s="45">
        <f t="shared" si="17"/>
        <v>483597.27</v>
      </c>
      <c r="V64" s="24"/>
      <c r="W64" s="8"/>
      <c r="X64" s="29"/>
      <c r="Y64" s="92"/>
      <c r="Z64" s="39"/>
      <c r="AA64" s="40"/>
      <c r="AB64" s="40"/>
      <c r="AC64" s="41"/>
      <c r="AD64" s="42"/>
      <c r="AE64" s="1"/>
    </row>
    <row r="65" spans="1:45" ht="15" customHeight="1">
      <c r="A65" s="34" t="s">
        <v>161</v>
      </c>
      <c r="B65" s="34" t="s">
        <v>162</v>
      </c>
      <c r="C65" s="34" t="s">
        <v>163</v>
      </c>
      <c r="D65" s="43">
        <v>320000.03999999998</v>
      </c>
      <c r="E65" s="44">
        <v>6172.58</v>
      </c>
      <c r="F65" s="45">
        <f t="shared" si="12"/>
        <v>326172.62</v>
      </c>
      <c r="G65" s="46"/>
      <c r="H65" s="46"/>
      <c r="I65" s="46"/>
      <c r="J65" s="43">
        <v>323455.96000000002</v>
      </c>
      <c r="K65" s="44">
        <v>3455.92</v>
      </c>
      <c r="L65" s="45">
        <f t="shared" si="19"/>
        <v>326911.88</v>
      </c>
      <c r="M65" s="49">
        <v>275324</v>
      </c>
      <c r="N65" s="91">
        <v>291.60000000000002</v>
      </c>
      <c r="O65" s="45">
        <f t="shared" si="16"/>
        <v>275615.59999999998</v>
      </c>
      <c r="P65" s="49">
        <v>330371.52</v>
      </c>
      <c r="Q65" s="91">
        <v>10371.48</v>
      </c>
      <c r="R65" s="45">
        <f t="shared" si="18"/>
        <v>340743</v>
      </c>
      <c r="S65" s="93">
        <v>311899</v>
      </c>
      <c r="T65" s="37" t="s">
        <v>14</v>
      </c>
      <c r="U65" s="45">
        <f t="shared" si="17"/>
        <v>311899</v>
      </c>
      <c r="V65" s="24"/>
      <c r="W65" s="8"/>
      <c r="X65" s="29"/>
      <c r="AE65" s="1"/>
    </row>
    <row r="66" spans="1:45" ht="15" customHeight="1">
      <c r="A66" s="34" t="s">
        <v>164</v>
      </c>
      <c r="B66" s="34" t="s">
        <v>165</v>
      </c>
      <c r="C66" s="34" t="s">
        <v>166</v>
      </c>
      <c r="D66" s="49">
        <v>168040.3</v>
      </c>
      <c r="E66" s="91">
        <v>7963.04</v>
      </c>
      <c r="F66" s="45">
        <f t="shared" si="12"/>
        <v>176003.34</v>
      </c>
      <c r="G66" s="46"/>
      <c r="H66" s="46"/>
      <c r="I66" s="46"/>
      <c r="J66" s="49">
        <v>166189.76999999999</v>
      </c>
      <c r="K66" s="91">
        <v>330.17</v>
      </c>
      <c r="L66" s="45">
        <f t="shared" si="19"/>
        <v>166519.94</v>
      </c>
      <c r="M66" s="49">
        <v>156730.75</v>
      </c>
      <c r="N66" s="91">
        <v>32744.71</v>
      </c>
      <c r="O66" s="45">
        <f t="shared" si="16"/>
        <v>189475.46</v>
      </c>
      <c r="P66" s="37" t="s">
        <v>14</v>
      </c>
      <c r="Q66" s="37" t="s">
        <v>14</v>
      </c>
      <c r="R66" s="37" t="s">
        <v>14</v>
      </c>
      <c r="S66" s="43">
        <v>338538.42</v>
      </c>
      <c r="T66" s="46">
        <v>62314.59</v>
      </c>
      <c r="U66" s="45">
        <f t="shared" si="17"/>
        <v>400853.01</v>
      </c>
      <c r="V66" s="24"/>
      <c r="W66" s="8"/>
      <c r="X66" s="29"/>
      <c r="AE66" s="1"/>
    </row>
    <row r="67" spans="1:45" ht="15" customHeight="1">
      <c r="A67" s="34" t="s">
        <v>167</v>
      </c>
      <c r="B67" s="34" t="s">
        <v>168</v>
      </c>
      <c r="C67" s="34" t="s">
        <v>169</v>
      </c>
      <c r="D67" s="49">
        <v>190326.71</v>
      </c>
      <c r="E67" s="91">
        <v>612.01</v>
      </c>
      <c r="F67" s="45">
        <f t="shared" si="12"/>
        <v>190938.72</v>
      </c>
      <c r="G67" s="46"/>
      <c r="H67" s="46"/>
      <c r="I67" s="46"/>
      <c r="J67" s="49">
        <v>149366.88</v>
      </c>
      <c r="K67" s="91">
        <v>280</v>
      </c>
      <c r="L67" s="45">
        <f t="shared" si="19"/>
        <v>149646.88</v>
      </c>
      <c r="M67" s="49">
        <v>175956.51</v>
      </c>
      <c r="N67" s="91">
        <v>312</v>
      </c>
      <c r="O67" s="45">
        <f t="shared" si="16"/>
        <v>176268.51</v>
      </c>
      <c r="P67" s="49">
        <v>153978.85</v>
      </c>
      <c r="Q67" s="91">
        <v>192</v>
      </c>
      <c r="R67" s="45">
        <f t="shared" si="18"/>
        <v>154170.85</v>
      </c>
      <c r="S67" s="43">
        <v>189663.5</v>
      </c>
      <c r="T67" s="46">
        <v>381.02</v>
      </c>
      <c r="U67" s="45">
        <f t="shared" si="17"/>
        <v>190044.52</v>
      </c>
      <c r="V67" s="24"/>
      <c r="W67" s="8"/>
      <c r="X67" s="29"/>
      <c r="Y67" s="69"/>
      <c r="AE67" s="1"/>
    </row>
    <row r="68" spans="1:45" ht="15" customHeight="1">
      <c r="A68" s="34" t="s">
        <v>170</v>
      </c>
      <c r="B68" s="34" t="s">
        <v>171</v>
      </c>
      <c r="C68" s="34" t="s">
        <v>171</v>
      </c>
      <c r="D68" s="49">
        <v>351747.72</v>
      </c>
      <c r="E68" s="91">
        <v>2874.48</v>
      </c>
      <c r="F68" s="45">
        <f t="shared" si="12"/>
        <v>354622.19999999995</v>
      </c>
      <c r="G68" s="46"/>
      <c r="H68" s="46"/>
      <c r="I68" s="46"/>
      <c r="J68" s="49">
        <v>438892.04</v>
      </c>
      <c r="K68" s="91">
        <v>56852.639999999999</v>
      </c>
      <c r="L68" s="45">
        <f t="shared" si="19"/>
        <v>495744.68</v>
      </c>
      <c r="M68" s="49">
        <v>489384.04</v>
      </c>
      <c r="N68" s="91">
        <v>57375.96</v>
      </c>
      <c r="O68" s="45">
        <f t="shared" si="16"/>
        <v>546760</v>
      </c>
      <c r="P68" s="49">
        <v>438892.04</v>
      </c>
      <c r="Q68" s="91">
        <v>58166.1</v>
      </c>
      <c r="R68" s="45">
        <f t="shared" si="18"/>
        <v>497058.13999999996</v>
      </c>
      <c r="S68" s="43">
        <v>438892.04</v>
      </c>
      <c r="T68" s="46">
        <v>58724.4</v>
      </c>
      <c r="U68" s="45">
        <f t="shared" si="17"/>
        <v>497616.44</v>
      </c>
      <c r="V68" s="24"/>
      <c r="W68" s="8"/>
      <c r="X68" s="29"/>
      <c r="Y68" s="112"/>
      <c r="AE68" s="1"/>
    </row>
    <row r="69" spans="1:45" ht="15" customHeight="1">
      <c r="A69" s="34" t="s">
        <v>172</v>
      </c>
      <c r="B69" s="34" t="s">
        <v>173</v>
      </c>
      <c r="C69" s="34" t="s">
        <v>173</v>
      </c>
      <c r="D69" s="49">
        <v>281043.96000000002</v>
      </c>
      <c r="E69" s="91">
        <v>1140</v>
      </c>
      <c r="F69" s="45">
        <f>SUM(D69:E69)</f>
        <v>282183.96000000002</v>
      </c>
      <c r="G69" s="46"/>
      <c r="H69" s="46"/>
      <c r="I69" s="46"/>
      <c r="J69" s="49">
        <v>281000.03999999998</v>
      </c>
      <c r="K69" s="91">
        <v>415.14</v>
      </c>
      <c r="L69" s="45">
        <f>SUM(J69:K69)</f>
        <v>281415.18</v>
      </c>
      <c r="M69" s="49">
        <v>285215.03999999998</v>
      </c>
      <c r="N69" s="91">
        <v>373.26</v>
      </c>
      <c r="O69" s="45">
        <f t="shared" si="16"/>
        <v>285588.3</v>
      </c>
      <c r="P69" s="49">
        <v>289430.03999999998</v>
      </c>
      <c r="Q69" s="91">
        <v>335.82</v>
      </c>
      <c r="R69" s="45">
        <f t="shared" si="18"/>
        <v>289765.86</v>
      </c>
      <c r="S69" s="43">
        <v>202110.54</v>
      </c>
      <c r="T69" s="46">
        <v>159</v>
      </c>
      <c r="U69" s="45">
        <f t="shared" si="17"/>
        <v>202269.54</v>
      </c>
      <c r="V69" s="24"/>
      <c r="W69" s="8"/>
      <c r="X69" s="29"/>
      <c r="Y69" s="69"/>
      <c r="Z69" s="39"/>
      <c r="AA69" s="40"/>
      <c r="AB69" s="40"/>
      <c r="AC69" s="41"/>
      <c r="AD69" s="42"/>
      <c r="AE69" s="1"/>
    </row>
    <row r="70" spans="1:45" ht="15" customHeight="1">
      <c r="A70" s="34" t="s">
        <v>174</v>
      </c>
      <c r="B70" s="34" t="s">
        <v>175</v>
      </c>
      <c r="C70" s="34" t="s">
        <v>175</v>
      </c>
      <c r="D70" s="49">
        <v>399999.96</v>
      </c>
      <c r="E70" s="91">
        <v>2618.88</v>
      </c>
      <c r="F70" s="45">
        <f t="shared" si="12"/>
        <v>402618.84</v>
      </c>
      <c r="G70" s="46"/>
      <c r="H70" s="46"/>
      <c r="I70" s="46"/>
      <c r="J70" s="49">
        <v>399999.96</v>
      </c>
      <c r="K70" s="91">
        <v>3328.68</v>
      </c>
      <c r="L70" s="45">
        <f t="shared" si="19"/>
        <v>403328.64</v>
      </c>
      <c r="M70" s="49">
        <v>475631.08</v>
      </c>
      <c r="N70" s="91">
        <v>2918.16</v>
      </c>
      <c r="O70" s="45">
        <f t="shared" si="16"/>
        <v>478549.24</v>
      </c>
      <c r="P70" s="49">
        <v>473446.56</v>
      </c>
      <c r="Q70" s="91">
        <v>1768.34</v>
      </c>
      <c r="R70" s="45">
        <f t="shared" si="18"/>
        <v>475214.9</v>
      </c>
      <c r="S70" s="43">
        <v>474081.23</v>
      </c>
      <c r="T70" s="46">
        <v>542.08000000000004</v>
      </c>
      <c r="U70" s="45">
        <f t="shared" si="17"/>
        <v>474623.31</v>
      </c>
      <c r="V70" s="24"/>
      <c r="W70" s="8"/>
      <c r="X70" s="29"/>
      <c r="AE70" s="1"/>
    </row>
    <row r="71" spans="1:45" ht="15" customHeight="1">
      <c r="A71" s="34" t="s">
        <v>176</v>
      </c>
      <c r="B71" s="34" t="s">
        <v>177</v>
      </c>
      <c r="C71" s="34" t="s">
        <v>178</v>
      </c>
      <c r="D71" s="49">
        <v>316999.92</v>
      </c>
      <c r="E71" s="91">
        <v>37936.199999999997</v>
      </c>
      <c r="F71" s="45">
        <f t="shared" si="12"/>
        <v>354936.12</v>
      </c>
      <c r="G71" s="46"/>
      <c r="H71" s="46"/>
      <c r="I71" s="46"/>
      <c r="J71" s="49">
        <v>360275.04</v>
      </c>
      <c r="K71" s="91">
        <v>41400.160000000003</v>
      </c>
      <c r="L71" s="45">
        <f t="shared" si="19"/>
        <v>401675.19999999995</v>
      </c>
      <c r="M71" s="49">
        <v>366375.04</v>
      </c>
      <c r="N71" s="91">
        <v>13565.8</v>
      </c>
      <c r="O71" s="45">
        <f t="shared" si="16"/>
        <v>379940.83999999997</v>
      </c>
      <c r="P71" s="49">
        <v>364240.07</v>
      </c>
      <c r="Q71" s="91">
        <v>2273.66</v>
      </c>
      <c r="R71" s="45">
        <f t="shared" si="18"/>
        <v>366513.73</v>
      </c>
      <c r="S71" s="43">
        <v>372275.04</v>
      </c>
      <c r="T71" s="46">
        <v>16530.36</v>
      </c>
      <c r="U71" s="45">
        <f t="shared" si="17"/>
        <v>388805.39999999997</v>
      </c>
      <c r="V71" s="24"/>
      <c r="W71" s="8"/>
      <c r="X71" s="29"/>
      <c r="AE71" s="1"/>
    </row>
    <row r="72" spans="1:45" ht="15" customHeight="1">
      <c r="A72" s="34" t="s">
        <v>179</v>
      </c>
      <c r="B72" s="34" t="s">
        <v>180</v>
      </c>
      <c r="C72" s="34" t="s">
        <v>181</v>
      </c>
      <c r="D72" s="49">
        <v>479600.04</v>
      </c>
      <c r="E72" s="91">
        <v>41467.279999999999</v>
      </c>
      <c r="F72" s="45">
        <f t="shared" si="12"/>
        <v>521067.31999999995</v>
      </c>
      <c r="G72" s="46"/>
      <c r="H72" s="46"/>
      <c r="I72" s="46"/>
      <c r="J72" s="49">
        <v>484000.04</v>
      </c>
      <c r="K72" s="91">
        <v>47417.08</v>
      </c>
      <c r="L72" s="45">
        <f t="shared" si="19"/>
        <v>531417.12</v>
      </c>
      <c r="M72" s="49">
        <v>484000.04</v>
      </c>
      <c r="N72" s="91">
        <v>47230.82</v>
      </c>
      <c r="O72" s="45">
        <f t="shared" si="16"/>
        <v>531230.86</v>
      </c>
      <c r="P72" s="49">
        <v>220000.02</v>
      </c>
      <c r="Q72" s="91">
        <v>15712.2</v>
      </c>
      <c r="R72" s="45">
        <f t="shared" si="18"/>
        <v>235712.22</v>
      </c>
      <c r="S72" s="43">
        <v>484000.04</v>
      </c>
      <c r="T72" s="46">
        <v>38683.4</v>
      </c>
      <c r="U72" s="45">
        <f t="shared" si="17"/>
        <v>522683.44</v>
      </c>
      <c r="V72" s="24"/>
      <c r="W72" s="8"/>
      <c r="X72" s="29"/>
      <c r="AE72" s="1"/>
    </row>
    <row r="73" spans="1:45" ht="15" customHeight="1">
      <c r="A73" s="34" t="s">
        <v>182</v>
      </c>
      <c r="B73" s="34" t="s">
        <v>183</v>
      </c>
      <c r="C73" s="34" t="s">
        <v>184</v>
      </c>
      <c r="D73" s="49">
        <v>364924.58</v>
      </c>
      <c r="E73" s="91">
        <v>28159.97</v>
      </c>
      <c r="F73" s="45">
        <f t="shared" si="12"/>
        <v>393084.55000000005</v>
      </c>
      <c r="G73" s="46"/>
      <c r="H73" s="46"/>
      <c r="I73" s="46"/>
      <c r="J73" s="49">
        <v>371418.02</v>
      </c>
      <c r="K73" s="91">
        <v>15445.29</v>
      </c>
      <c r="L73" s="45">
        <f t="shared" si="19"/>
        <v>386863.31</v>
      </c>
      <c r="M73" s="49">
        <v>346500.04</v>
      </c>
      <c r="N73" s="91">
        <v>751.86</v>
      </c>
      <c r="O73" s="45">
        <f t="shared" si="16"/>
        <v>347251.89999999997</v>
      </c>
      <c r="P73" s="49">
        <v>353100.05</v>
      </c>
      <c r="Q73" s="91">
        <v>739.23</v>
      </c>
      <c r="R73" s="45">
        <f t="shared" si="18"/>
        <v>353839.27999999997</v>
      </c>
      <c r="S73" s="43">
        <v>375692.36</v>
      </c>
      <c r="T73" s="46">
        <v>750.6</v>
      </c>
      <c r="U73" s="45">
        <f t="shared" si="17"/>
        <v>376442.95999999996</v>
      </c>
      <c r="V73" s="24"/>
      <c r="W73" s="8"/>
      <c r="X73" s="29"/>
      <c r="Y73" s="71"/>
      <c r="AE73" s="1"/>
    </row>
    <row r="74" spans="1:45" ht="15" customHeight="1">
      <c r="A74" s="34" t="s">
        <v>185</v>
      </c>
      <c r="B74" s="34" t="s">
        <v>186</v>
      </c>
      <c r="C74" s="34" t="s">
        <v>187</v>
      </c>
      <c r="D74" s="49">
        <v>478405.94</v>
      </c>
      <c r="E74" s="91">
        <v>8455.7199999999993</v>
      </c>
      <c r="F74" s="45">
        <f t="shared" si="12"/>
        <v>486861.66</v>
      </c>
      <c r="G74" s="46"/>
      <c r="H74" s="46"/>
      <c r="I74" s="46"/>
      <c r="J74" s="49">
        <v>486711.06</v>
      </c>
      <c r="K74" s="91">
        <v>4526.6000000000004</v>
      </c>
      <c r="L74" s="45">
        <f t="shared" si="19"/>
        <v>491237.66</v>
      </c>
      <c r="M74" s="49">
        <v>476000.04</v>
      </c>
      <c r="N74" s="91">
        <v>3710.39</v>
      </c>
      <c r="O74" s="45">
        <f t="shared" si="16"/>
        <v>479710.43</v>
      </c>
      <c r="P74" s="49">
        <v>490000.04</v>
      </c>
      <c r="Q74" s="91">
        <v>3526.87</v>
      </c>
      <c r="R74" s="45">
        <f t="shared" si="18"/>
        <v>493526.91</v>
      </c>
      <c r="S74" s="43">
        <v>490000.04</v>
      </c>
      <c r="T74" s="46">
        <v>4654.34</v>
      </c>
      <c r="U74" s="45">
        <f t="shared" si="17"/>
        <v>494654.38</v>
      </c>
      <c r="V74" s="24"/>
      <c r="W74" s="8"/>
      <c r="X74" s="29"/>
      <c r="AE74" s="1"/>
    </row>
    <row r="75" spans="1:45" s="4" customFormat="1" ht="15" customHeight="1">
      <c r="A75" s="124" t="s">
        <v>188</v>
      </c>
      <c r="B75" s="124"/>
      <c r="C75" s="124"/>
      <c r="D75" s="124"/>
      <c r="E75" s="124"/>
      <c r="F75" s="21"/>
      <c r="G75" s="10"/>
      <c r="H75" s="10"/>
      <c r="I75" s="10"/>
      <c r="J75" s="11"/>
      <c r="K75" s="11"/>
      <c r="L75" s="21"/>
      <c r="M75" s="30"/>
      <c r="N75" s="11"/>
      <c r="O75" s="31"/>
      <c r="P75" s="30"/>
      <c r="Q75" s="11"/>
      <c r="R75" s="31"/>
      <c r="S75" s="30"/>
      <c r="T75" s="11"/>
      <c r="U75" s="31"/>
      <c r="V75" s="30"/>
      <c r="W75" s="11"/>
      <c r="X75" s="31"/>
      <c r="Y75" s="68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" customHeight="1">
      <c r="A76" s="34" t="s">
        <v>189</v>
      </c>
      <c r="B76" s="34" t="s">
        <v>190</v>
      </c>
      <c r="C76" s="34" t="s">
        <v>190</v>
      </c>
      <c r="D76" s="49">
        <v>420000</v>
      </c>
      <c r="E76" s="94" t="s">
        <v>14</v>
      </c>
      <c r="F76" s="45">
        <f>SUM(D76:E76)</f>
        <v>420000</v>
      </c>
      <c r="G76" s="46"/>
      <c r="H76" s="46"/>
      <c r="I76" s="46"/>
      <c r="J76" s="49">
        <v>399000</v>
      </c>
      <c r="K76" s="37" t="s">
        <v>14</v>
      </c>
      <c r="L76" s="45">
        <f t="shared" ref="L76:L87" si="20">SUM(J76:K76)</f>
        <v>399000</v>
      </c>
      <c r="M76" s="37" t="s">
        <v>14</v>
      </c>
      <c r="N76" s="37" t="s">
        <v>14</v>
      </c>
      <c r="O76" s="37" t="s">
        <v>14</v>
      </c>
      <c r="P76" s="37" t="s">
        <v>14</v>
      </c>
      <c r="Q76" s="37" t="s">
        <v>14</v>
      </c>
      <c r="R76" s="37" t="s">
        <v>14</v>
      </c>
      <c r="S76" s="54">
        <v>410000</v>
      </c>
      <c r="T76" s="37" t="s">
        <v>14</v>
      </c>
      <c r="U76" s="45">
        <f>SUM(S76:T76)</f>
        <v>410000</v>
      </c>
      <c r="V76" s="24"/>
      <c r="W76" s="8"/>
      <c r="X76" s="29"/>
      <c r="Y76" s="69"/>
      <c r="Z76" s="39"/>
      <c r="AA76" s="40"/>
      <c r="AB76" s="40"/>
      <c r="AC76" s="41"/>
      <c r="AD76" s="42"/>
      <c r="AE76" s="1"/>
    </row>
    <row r="77" spans="1:45" ht="15" customHeight="1">
      <c r="A77" s="34" t="s">
        <v>191</v>
      </c>
      <c r="B77" s="34" t="s">
        <v>13</v>
      </c>
      <c r="C77" s="34" t="s">
        <v>13</v>
      </c>
      <c r="D77" s="49">
        <v>352625</v>
      </c>
      <c r="E77" s="91">
        <v>92139</v>
      </c>
      <c r="F77" s="45">
        <f>SUM(D77:E77)</f>
        <v>444764</v>
      </c>
      <c r="G77" s="46"/>
      <c r="H77" s="46"/>
      <c r="I77" s="46"/>
      <c r="J77" s="49">
        <v>365998</v>
      </c>
      <c r="K77" s="37" t="s">
        <v>14</v>
      </c>
      <c r="L77" s="45">
        <f>SUM(J77:K77)</f>
        <v>365998</v>
      </c>
      <c r="M77" s="49">
        <v>365998</v>
      </c>
      <c r="N77" s="37" t="s">
        <v>14</v>
      </c>
      <c r="O77" s="45">
        <f t="shared" ref="O77:O80" si="21">SUM(M77:N77)</f>
        <v>365998</v>
      </c>
      <c r="P77" s="37" t="s">
        <v>14</v>
      </c>
      <c r="Q77" s="37" t="s">
        <v>14</v>
      </c>
      <c r="R77" s="37" t="s">
        <v>14</v>
      </c>
      <c r="S77" s="43">
        <v>337020</v>
      </c>
      <c r="T77" s="46">
        <v>40000</v>
      </c>
      <c r="U77" s="45">
        <f>SUM(S77:T77)</f>
        <v>377020</v>
      </c>
      <c r="V77" s="45"/>
      <c r="W77" s="8"/>
      <c r="X77" s="29"/>
      <c r="Y77" s="72"/>
      <c r="Z77" s="39"/>
      <c r="AA77" s="40"/>
      <c r="AB77" s="40"/>
      <c r="AC77" s="41"/>
      <c r="AD77" s="42"/>
      <c r="AE77" s="1"/>
    </row>
    <row r="78" spans="1:45" ht="15" customHeight="1">
      <c r="A78" s="66" t="s">
        <v>192</v>
      </c>
      <c r="B78" s="34" t="s">
        <v>193</v>
      </c>
      <c r="C78" s="34" t="s">
        <v>194</v>
      </c>
      <c r="D78" s="49" t="s">
        <v>14</v>
      </c>
      <c r="E78" s="94" t="s">
        <v>14</v>
      </c>
      <c r="F78" s="95" t="s">
        <v>14</v>
      </c>
      <c r="G78" s="96"/>
      <c r="H78" s="96"/>
      <c r="I78" s="96"/>
      <c r="J78" s="49" t="s">
        <v>14</v>
      </c>
      <c r="K78" s="37" t="s">
        <v>14</v>
      </c>
      <c r="L78" s="95" t="s">
        <v>14</v>
      </c>
      <c r="M78" s="49">
        <v>449725.57</v>
      </c>
      <c r="N78" s="37" t="s">
        <v>14</v>
      </c>
      <c r="O78" s="45">
        <f t="shared" si="21"/>
        <v>449725.57</v>
      </c>
      <c r="P78" s="49">
        <v>453741.34</v>
      </c>
      <c r="Q78" s="37" t="s">
        <v>14</v>
      </c>
      <c r="R78" s="45">
        <f t="shared" ref="R78:R80" si="22">SUM(P78:Q78)</f>
        <v>453741.34</v>
      </c>
      <c r="S78" s="43">
        <v>434571.18</v>
      </c>
      <c r="T78" s="46" t="s">
        <v>14</v>
      </c>
      <c r="U78" s="45">
        <f t="shared" ref="U78:U81" si="23">SUM(S78:T78)</f>
        <v>434571.18</v>
      </c>
      <c r="V78" s="24"/>
      <c r="W78" s="8"/>
      <c r="X78" s="29"/>
      <c r="AE78" s="1"/>
    </row>
    <row r="79" spans="1:45" ht="15" customHeight="1">
      <c r="A79" s="66" t="s">
        <v>195</v>
      </c>
      <c r="B79" s="34" t="s">
        <v>196</v>
      </c>
      <c r="C79" s="34" t="s">
        <v>197</v>
      </c>
      <c r="D79" s="43">
        <v>280847</v>
      </c>
      <c r="E79" s="94" t="s">
        <v>14</v>
      </c>
      <c r="F79" s="45">
        <f>SUM(D79:E79)</f>
        <v>280847</v>
      </c>
      <c r="G79" s="46"/>
      <c r="H79" s="46"/>
      <c r="I79" s="46"/>
      <c r="J79" s="43">
        <v>206552.57</v>
      </c>
      <c r="K79" s="37" t="s">
        <v>14</v>
      </c>
      <c r="L79" s="45">
        <f>SUM(J79:K79)</f>
        <v>206552.57</v>
      </c>
      <c r="M79" s="49">
        <v>250753.13</v>
      </c>
      <c r="N79" s="37" t="s">
        <v>14</v>
      </c>
      <c r="O79" s="45">
        <f t="shared" si="21"/>
        <v>250753.13</v>
      </c>
      <c r="P79" s="49">
        <v>204565.95</v>
      </c>
      <c r="Q79" s="37" t="s">
        <v>14</v>
      </c>
      <c r="R79" s="45">
        <f t="shared" si="22"/>
        <v>204565.95</v>
      </c>
      <c r="S79" s="43">
        <v>323757.43</v>
      </c>
      <c r="T79" s="46" t="s">
        <v>14</v>
      </c>
      <c r="U79" s="45">
        <f t="shared" si="23"/>
        <v>323757.43</v>
      </c>
      <c r="V79" s="24"/>
      <c r="W79" s="8"/>
      <c r="X79" s="29"/>
      <c r="AE79" s="1"/>
    </row>
    <row r="80" spans="1:45" ht="15" customHeight="1">
      <c r="A80" s="34" t="s">
        <v>198</v>
      </c>
      <c r="B80" s="34" t="s">
        <v>199</v>
      </c>
      <c r="C80" s="34" t="s">
        <v>200</v>
      </c>
      <c r="D80" s="49">
        <v>248123</v>
      </c>
      <c r="E80" s="91">
        <v>57247</v>
      </c>
      <c r="F80" s="45">
        <f>SUM(D80:E80)</f>
        <v>305370</v>
      </c>
      <c r="G80" s="46"/>
      <c r="H80" s="46"/>
      <c r="I80" s="46"/>
      <c r="J80" s="49" t="s">
        <v>14</v>
      </c>
      <c r="K80" s="37" t="s">
        <v>14</v>
      </c>
      <c r="L80" s="45" t="s">
        <v>14</v>
      </c>
      <c r="M80" s="49">
        <v>302892</v>
      </c>
      <c r="N80" s="37" t="s">
        <v>14</v>
      </c>
      <c r="O80" s="45">
        <f t="shared" si="21"/>
        <v>302892</v>
      </c>
      <c r="P80" s="49">
        <v>302898</v>
      </c>
      <c r="Q80" s="37" t="s">
        <v>14</v>
      </c>
      <c r="R80" s="45">
        <f t="shared" si="22"/>
        <v>302898</v>
      </c>
      <c r="S80" s="43">
        <v>234024</v>
      </c>
      <c r="T80" s="46" t="s">
        <v>14</v>
      </c>
      <c r="U80" s="45">
        <f t="shared" si="23"/>
        <v>234024</v>
      </c>
      <c r="V80" s="24"/>
      <c r="W80" s="8"/>
      <c r="X80" s="29"/>
      <c r="AE80" s="1"/>
    </row>
    <row r="81" spans="1:45" ht="15" customHeight="1">
      <c r="A81" s="34" t="s">
        <v>201</v>
      </c>
      <c r="B81" s="34" t="s">
        <v>202</v>
      </c>
      <c r="C81" s="34" t="s">
        <v>203</v>
      </c>
      <c r="D81" s="43">
        <v>220110</v>
      </c>
      <c r="E81" s="44">
        <v>9989</v>
      </c>
      <c r="F81" s="45">
        <f>SUM(D81:E81)</f>
        <v>230099</v>
      </c>
      <c r="G81" s="46"/>
      <c r="H81" s="46"/>
      <c r="I81" s="46"/>
      <c r="J81" s="43" t="s">
        <v>14</v>
      </c>
      <c r="K81" s="37" t="s">
        <v>14</v>
      </c>
      <c r="L81" s="45" t="s">
        <v>14</v>
      </c>
      <c r="M81" s="43" t="s">
        <v>14</v>
      </c>
      <c r="N81" s="37" t="s">
        <v>14</v>
      </c>
      <c r="O81" s="45" t="s">
        <v>14</v>
      </c>
      <c r="P81" s="43" t="s">
        <v>14</v>
      </c>
      <c r="Q81" s="37" t="s">
        <v>14</v>
      </c>
      <c r="R81" s="45" t="s">
        <v>14</v>
      </c>
      <c r="S81" s="43">
        <v>247947</v>
      </c>
      <c r="T81" s="46" t="s">
        <v>14</v>
      </c>
      <c r="U81" s="45">
        <f t="shared" si="23"/>
        <v>247947</v>
      </c>
      <c r="V81" s="24"/>
      <c r="W81" s="8"/>
      <c r="X81" s="29"/>
      <c r="AE81" s="1"/>
    </row>
    <row r="82" spans="1:45" s="63" customFormat="1" ht="15" customHeight="1">
      <c r="A82" s="123" t="s">
        <v>204</v>
      </c>
      <c r="B82" s="123"/>
      <c r="C82" s="123"/>
      <c r="D82" s="123"/>
      <c r="E82" s="123"/>
      <c r="F82" s="21"/>
      <c r="G82" s="10"/>
      <c r="H82" s="10"/>
      <c r="I82" s="10"/>
      <c r="J82" s="11"/>
      <c r="K82" s="11"/>
      <c r="L82" s="21"/>
      <c r="M82" s="30"/>
      <c r="N82" s="11"/>
      <c r="O82" s="31"/>
      <c r="P82" s="30"/>
      <c r="Q82" s="11"/>
      <c r="R82" s="31"/>
      <c r="S82" s="30"/>
      <c r="T82" s="11"/>
      <c r="U82" s="31"/>
      <c r="V82" s="30"/>
      <c r="W82" s="11"/>
      <c r="X82" s="31"/>
      <c r="Y82" s="68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</row>
    <row r="83" spans="1:45" ht="15" customHeight="1">
      <c r="A83" s="34" t="s">
        <v>205</v>
      </c>
      <c r="B83" s="34" t="s">
        <v>206</v>
      </c>
      <c r="C83" s="34" t="s">
        <v>207</v>
      </c>
      <c r="D83" s="49">
        <v>544000</v>
      </c>
      <c r="E83" s="91">
        <v>47000</v>
      </c>
      <c r="F83" s="45">
        <f t="shared" ref="F83:F88" si="24">SUM(D83:E83)</f>
        <v>591000</v>
      </c>
      <c r="G83" s="46"/>
      <c r="H83" s="46"/>
      <c r="I83" s="46"/>
      <c r="J83" s="49">
        <v>599597</v>
      </c>
      <c r="K83" s="91">
        <v>115896.71</v>
      </c>
      <c r="L83" s="45">
        <f>SUM(J83:K83)</f>
        <v>715493.71</v>
      </c>
      <c r="M83" s="49">
        <v>674597.48</v>
      </c>
      <c r="N83" s="37">
        <v>119975.88</v>
      </c>
      <c r="O83" s="45">
        <f>SUM(M83:N83)</f>
        <v>794573.36</v>
      </c>
      <c r="P83" s="37">
        <v>689597.48</v>
      </c>
      <c r="Q83" s="37">
        <v>125129.89</v>
      </c>
      <c r="R83" s="37">
        <f>SUM(P83:Q83)</f>
        <v>814727.37</v>
      </c>
      <c r="S83" s="49">
        <v>226856.88</v>
      </c>
      <c r="T83" s="37">
        <v>40730.199999999997</v>
      </c>
      <c r="U83" s="45">
        <f>SUM(S83:T83)</f>
        <v>267587.08</v>
      </c>
      <c r="V83" s="24"/>
      <c r="W83" s="8"/>
      <c r="X83" s="29"/>
      <c r="Y83" s="69"/>
      <c r="Z83" s="39"/>
      <c r="AA83" s="40"/>
      <c r="AB83" s="40"/>
      <c r="AC83" s="41"/>
      <c r="AD83" s="42"/>
      <c r="AE83" s="1"/>
    </row>
    <row r="84" spans="1:45" ht="15" customHeight="1">
      <c r="A84" s="34" t="s">
        <v>208</v>
      </c>
      <c r="B84" s="66" t="s">
        <v>209</v>
      </c>
      <c r="C84" s="66" t="s">
        <v>210</v>
      </c>
      <c r="D84" s="49">
        <v>457000</v>
      </c>
      <c r="E84" s="91">
        <v>28000</v>
      </c>
      <c r="F84" s="45">
        <f t="shared" si="24"/>
        <v>485000</v>
      </c>
      <c r="G84" s="46"/>
      <c r="H84" s="46"/>
      <c r="I84" s="46"/>
      <c r="J84" s="49">
        <v>601016</v>
      </c>
      <c r="K84" s="91">
        <v>36398.31</v>
      </c>
      <c r="L84" s="45">
        <f>SUM(J84:K84)</f>
        <v>637414.31000000006</v>
      </c>
      <c r="M84" s="49">
        <v>647516.88</v>
      </c>
      <c r="N84" s="37">
        <v>36543.86</v>
      </c>
      <c r="O84" s="45">
        <f t="shared" ref="O84:O87" si="25">SUM(M84:N84)</f>
        <v>684060.74</v>
      </c>
      <c r="P84" s="37">
        <v>453334.34</v>
      </c>
      <c r="Q84" s="37">
        <v>34842.83</v>
      </c>
      <c r="R84" s="37">
        <f t="shared" ref="R84:R88" si="26">SUM(P84:Q84)</f>
        <v>488177.17000000004</v>
      </c>
      <c r="S84" s="49">
        <v>453646.8</v>
      </c>
      <c r="T84" s="37" t="s">
        <v>14</v>
      </c>
      <c r="U84" s="45">
        <f t="shared" ref="U84:U88" si="27">SUM(S84:T84)</f>
        <v>453646.8</v>
      </c>
      <c r="V84" s="24"/>
      <c r="W84" s="8"/>
      <c r="X84" s="29"/>
      <c r="Y84" s="69"/>
      <c r="Z84" s="39"/>
      <c r="AA84" s="40"/>
      <c r="AB84" s="40"/>
      <c r="AC84" s="41"/>
      <c r="AD84" s="42"/>
      <c r="AE84" s="1"/>
    </row>
    <row r="85" spans="1:45" ht="15" customHeight="1">
      <c r="A85" s="34" t="s">
        <v>211</v>
      </c>
      <c r="B85" s="66" t="s">
        <v>212</v>
      </c>
      <c r="C85" s="34" t="s">
        <v>212</v>
      </c>
      <c r="D85" s="49">
        <v>371000</v>
      </c>
      <c r="E85" s="91">
        <v>55000</v>
      </c>
      <c r="F85" s="45">
        <f t="shared" si="24"/>
        <v>426000</v>
      </c>
      <c r="G85" s="46"/>
      <c r="H85" s="46"/>
      <c r="I85" s="46"/>
      <c r="J85" s="49">
        <v>481339</v>
      </c>
      <c r="K85" s="91">
        <v>34755.129999999997</v>
      </c>
      <c r="L85" s="45">
        <f>SUM(J85:K85)</f>
        <v>516094.13</v>
      </c>
      <c r="M85" s="49">
        <v>484966.16</v>
      </c>
      <c r="N85" s="37">
        <v>34879.339999999997</v>
      </c>
      <c r="O85" s="45">
        <f t="shared" si="25"/>
        <v>519845.5</v>
      </c>
      <c r="P85" s="49">
        <v>480967.98</v>
      </c>
      <c r="Q85" s="37">
        <v>35238.33</v>
      </c>
      <c r="R85" s="45">
        <f t="shared" si="26"/>
        <v>516206.31</v>
      </c>
      <c r="S85" s="49">
        <v>398397.9</v>
      </c>
      <c r="T85" s="37">
        <v>35211.760000000002</v>
      </c>
      <c r="U85" s="45">
        <f t="shared" si="27"/>
        <v>433609.66000000003</v>
      </c>
      <c r="V85" s="24"/>
      <c r="W85" s="8"/>
      <c r="X85" s="29"/>
      <c r="Y85" s="69"/>
      <c r="Z85" s="39"/>
      <c r="AA85" s="40"/>
      <c r="AB85" s="40"/>
      <c r="AC85" s="41"/>
      <c r="AD85" s="42"/>
      <c r="AE85" s="1"/>
    </row>
    <row r="86" spans="1:45" s="62" customFormat="1" ht="15" customHeight="1">
      <c r="A86" s="65" t="s">
        <v>213</v>
      </c>
      <c r="B86" s="65" t="s">
        <v>214</v>
      </c>
      <c r="C86" s="67" t="s">
        <v>214</v>
      </c>
      <c r="D86" s="98">
        <v>369000</v>
      </c>
      <c r="E86" s="91">
        <v>34000</v>
      </c>
      <c r="F86" s="99">
        <f t="shared" si="24"/>
        <v>403000</v>
      </c>
      <c r="G86" s="100"/>
      <c r="H86" s="100"/>
      <c r="I86" s="100"/>
      <c r="J86" s="49">
        <v>450468</v>
      </c>
      <c r="K86" s="91">
        <v>38867.54</v>
      </c>
      <c r="L86" s="99">
        <f>SUM(J86:K86)</f>
        <v>489335.54</v>
      </c>
      <c r="M86" s="49">
        <v>445094.16</v>
      </c>
      <c r="N86" s="37">
        <v>39740.93</v>
      </c>
      <c r="O86" s="45">
        <f t="shared" si="25"/>
        <v>484835.08999999997</v>
      </c>
      <c r="P86" s="49">
        <v>489685.33</v>
      </c>
      <c r="Q86" s="37">
        <v>40517.5</v>
      </c>
      <c r="R86" s="45">
        <f t="shared" si="26"/>
        <v>530202.83000000007</v>
      </c>
      <c r="S86" s="113">
        <v>442082.26</v>
      </c>
      <c r="T86" s="37">
        <v>41416.239999999998</v>
      </c>
      <c r="U86" s="45">
        <f t="shared" si="27"/>
        <v>483498.5</v>
      </c>
      <c r="V86" s="59"/>
      <c r="W86" s="60"/>
      <c r="X86" s="61"/>
      <c r="Y86" s="101"/>
      <c r="Z86" s="102"/>
      <c r="AA86" s="103"/>
      <c r="AB86" s="103"/>
      <c r="AC86" s="104"/>
      <c r="AD86" s="105"/>
    </row>
    <row r="87" spans="1:45" ht="15" customHeight="1">
      <c r="A87" s="34" t="s">
        <v>215</v>
      </c>
      <c r="B87" s="34" t="s">
        <v>216</v>
      </c>
      <c r="C87" s="34" t="s">
        <v>199</v>
      </c>
      <c r="D87" s="49">
        <v>307000</v>
      </c>
      <c r="E87" s="91">
        <v>20000</v>
      </c>
      <c r="F87" s="45">
        <f t="shared" si="24"/>
        <v>327000</v>
      </c>
      <c r="G87" s="46"/>
      <c r="H87" s="46"/>
      <c r="I87" s="46"/>
      <c r="J87" s="49">
        <v>332387</v>
      </c>
      <c r="K87" s="91">
        <v>30467.8</v>
      </c>
      <c r="L87" s="45">
        <f t="shared" si="20"/>
        <v>362854.8</v>
      </c>
      <c r="M87" s="49">
        <v>361269.24</v>
      </c>
      <c r="N87" s="37">
        <v>29736.86</v>
      </c>
      <c r="O87" s="45">
        <f t="shared" si="25"/>
        <v>391006.1</v>
      </c>
      <c r="P87" s="49">
        <v>338690.55</v>
      </c>
      <c r="Q87" s="37">
        <v>251578.23999999999</v>
      </c>
      <c r="R87" s="45">
        <f t="shared" si="26"/>
        <v>590268.79</v>
      </c>
      <c r="S87" s="37" t="s">
        <v>14</v>
      </c>
      <c r="T87" s="37" t="s">
        <v>14</v>
      </c>
      <c r="U87" s="45" t="s">
        <v>14</v>
      </c>
      <c r="V87" s="24"/>
      <c r="W87" s="8"/>
      <c r="X87" s="29"/>
      <c r="Y87" s="69"/>
      <c r="Z87" s="39"/>
      <c r="AA87" s="40"/>
      <c r="AB87" s="40"/>
      <c r="AC87" s="41"/>
      <c r="AD87" s="42"/>
      <c r="AE87" s="1"/>
    </row>
    <row r="88" spans="1:45" ht="15" customHeight="1">
      <c r="A88" s="34" t="s">
        <v>217</v>
      </c>
      <c r="B88" s="66" t="s">
        <v>197</v>
      </c>
      <c r="C88" s="66" t="s">
        <v>218</v>
      </c>
      <c r="D88" s="49">
        <v>242000</v>
      </c>
      <c r="E88" s="91">
        <v>73000</v>
      </c>
      <c r="F88" s="45">
        <f t="shared" si="24"/>
        <v>315000</v>
      </c>
      <c r="G88" s="46"/>
      <c r="H88" s="46"/>
      <c r="I88" s="46"/>
      <c r="J88" s="49">
        <v>316969</v>
      </c>
      <c r="K88" s="91">
        <v>29363.74</v>
      </c>
      <c r="L88" s="45">
        <f>SUM(J88:K88)</f>
        <v>346332.74</v>
      </c>
      <c r="M88" s="43" t="s">
        <v>14</v>
      </c>
      <c r="N88" s="37" t="s">
        <v>14</v>
      </c>
      <c r="O88" s="45" t="s">
        <v>14</v>
      </c>
      <c r="P88" s="49">
        <v>209521.3</v>
      </c>
      <c r="Q88" s="37">
        <v>19660.32</v>
      </c>
      <c r="R88" s="45">
        <f t="shared" si="26"/>
        <v>229181.62</v>
      </c>
      <c r="S88" s="49">
        <v>312646.92</v>
      </c>
      <c r="T88" s="37"/>
      <c r="U88" s="45">
        <f t="shared" si="27"/>
        <v>312646.92</v>
      </c>
      <c r="V88" s="24"/>
      <c r="W88" s="8"/>
      <c r="X88" s="29"/>
      <c r="Y88" s="69"/>
      <c r="Z88" s="39"/>
      <c r="AA88" s="40"/>
      <c r="AB88" s="40"/>
      <c r="AC88" s="41"/>
      <c r="AD88" s="42"/>
      <c r="AE88" s="1"/>
    </row>
    <row r="89" spans="1:45" s="4" customFormat="1" ht="15" customHeight="1">
      <c r="A89" s="124" t="s">
        <v>219</v>
      </c>
      <c r="B89" s="124"/>
      <c r="C89" s="124"/>
      <c r="D89" s="124"/>
      <c r="E89" s="124"/>
      <c r="F89" s="25"/>
      <c r="G89" s="12"/>
      <c r="H89" s="12"/>
      <c r="I89" s="12"/>
      <c r="J89" s="13"/>
      <c r="K89" s="13"/>
      <c r="L89" s="25"/>
      <c r="M89" s="32"/>
      <c r="N89" s="13"/>
      <c r="O89" s="33"/>
      <c r="P89" s="32"/>
      <c r="Q89" s="13"/>
      <c r="R89" s="33"/>
      <c r="S89" s="32"/>
      <c r="T89" s="13"/>
      <c r="U89" s="33"/>
      <c r="V89" s="32"/>
      <c r="W89" s="13"/>
      <c r="X89" s="33"/>
      <c r="Y89" s="68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" customHeight="1">
      <c r="A90" s="34" t="s">
        <v>220</v>
      </c>
      <c r="B90" s="34" t="s">
        <v>221</v>
      </c>
      <c r="C90" s="34" t="s">
        <v>221</v>
      </c>
      <c r="D90" s="49" t="s">
        <v>14</v>
      </c>
      <c r="E90" s="91" t="s">
        <v>14</v>
      </c>
      <c r="F90" s="45" t="s">
        <v>14</v>
      </c>
      <c r="G90" s="43" t="s">
        <v>14</v>
      </c>
      <c r="H90" s="46" t="s">
        <v>14</v>
      </c>
      <c r="I90" s="95">
        <v>304938</v>
      </c>
      <c r="J90" s="49">
        <v>269023</v>
      </c>
      <c r="K90" s="91">
        <f>8609+27306</f>
        <v>35915</v>
      </c>
      <c r="L90" s="45">
        <f t="shared" ref="L90:L101" si="28">SUM(J90:K90)</f>
        <v>304938</v>
      </c>
      <c r="M90" s="43">
        <v>271864</v>
      </c>
      <c r="N90" s="44">
        <f>8979+27866</f>
        <v>36845</v>
      </c>
      <c r="O90" s="45">
        <f t="shared" ref="O90:O101" si="29">SUM(M90:N90)</f>
        <v>308709</v>
      </c>
      <c r="P90" s="43">
        <v>283925</v>
      </c>
      <c r="Q90" s="46">
        <f>8817+29358</f>
        <v>38175</v>
      </c>
      <c r="R90" s="45">
        <f t="shared" ref="R90:R101" si="30">SUM(P90:Q90)</f>
        <v>322100</v>
      </c>
      <c r="S90" s="43">
        <v>298011</v>
      </c>
      <c r="T90" s="46">
        <f>6201+30814</f>
        <v>37015</v>
      </c>
      <c r="U90" s="45">
        <f t="shared" ref="U90:U101" si="31">SUM(S90:T90)</f>
        <v>335026</v>
      </c>
      <c r="V90" s="24"/>
      <c r="W90" s="8"/>
      <c r="X90" s="29"/>
      <c r="AE90" s="1"/>
    </row>
    <row r="91" spans="1:45" ht="15" customHeight="1">
      <c r="A91" s="34" t="s">
        <v>222</v>
      </c>
      <c r="B91" s="34" t="s">
        <v>223</v>
      </c>
      <c r="C91" s="34" t="s">
        <v>223</v>
      </c>
      <c r="D91" s="49">
        <v>187500</v>
      </c>
      <c r="E91" s="91">
        <v>21786</v>
      </c>
      <c r="F91" s="45">
        <f t="shared" ref="F91:F101" si="32">SUM(D91:E91)</f>
        <v>209286</v>
      </c>
      <c r="G91" s="43" t="s">
        <v>14</v>
      </c>
      <c r="H91" s="46" t="s">
        <v>14</v>
      </c>
      <c r="I91" s="95">
        <v>122291</v>
      </c>
      <c r="J91" s="49">
        <v>180682</v>
      </c>
      <c r="K91" s="91">
        <f>24224+18369+1575</f>
        <v>44168</v>
      </c>
      <c r="L91" s="45">
        <f t="shared" si="28"/>
        <v>224850</v>
      </c>
      <c r="M91" s="43">
        <v>196031</v>
      </c>
      <c r="N91" s="44">
        <f>23746+21026+4112</f>
        <v>48884</v>
      </c>
      <c r="O91" s="45">
        <f t="shared" si="29"/>
        <v>244915</v>
      </c>
      <c r="P91" s="43">
        <v>206433</v>
      </c>
      <c r="Q91" s="46">
        <f>23597+22287+1200</f>
        <v>47084</v>
      </c>
      <c r="R91" s="45">
        <f t="shared" si="30"/>
        <v>253517</v>
      </c>
      <c r="S91" s="43">
        <v>214780</v>
      </c>
      <c r="T91" s="46">
        <f>28144+23526</f>
        <v>51670</v>
      </c>
      <c r="U91" s="45">
        <f t="shared" si="31"/>
        <v>266450</v>
      </c>
      <c r="V91" s="24"/>
      <c r="W91" s="8"/>
      <c r="X91" s="29"/>
      <c r="AE91" s="1"/>
    </row>
    <row r="92" spans="1:45" ht="15" customHeight="1">
      <c r="A92" s="34" t="s">
        <v>224</v>
      </c>
      <c r="B92" s="34" t="s">
        <v>225</v>
      </c>
      <c r="C92" s="34" t="s">
        <v>226</v>
      </c>
      <c r="D92" s="49">
        <v>189000</v>
      </c>
      <c r="E92" s="91">
        <v>13155</v>
      </c>
      <c r="F92" s="45">
        <f t="shared" si="32"/>
        <v>202155</v>
      </c>
      <c r="G92" s="43" t="s">
        <v>14</v>
      </c>
      <c r="H92" s="46" t="s">
        <v>14</v>
      </c>
      <c r="I92" s="95">
        <v>201163</v>
      </c>
      <c r="J92" s="49">
        <v>196640</v>
      </c>
      <c r="K92" s="91">
        <f>7395+23892+35418</f>
        <v>66705</v>
      </c>
      <c r="L92" s="45">
        <f t="shared" si="28"/>
        <v>263345</v>
      </c>
      <c r="M92" s="43">
        <v>201163</v>
      </c>
      <c r="N92" s="44">
        <f>6804+14276+17889</f>
        <v>38969</v>
      </c>
      <c r="O92" s="45">
        <f t="shared" si="29"/>
        <v>240132</v>
      </c>
      <c r="P92" s="43">
        <v>262750</v>
      </c>
      <c r="Q92" s="46">
        <f>16402+27168</f>
        <v>43570</v>
      </c>
      <c r="R92" s="45">
        <f t="shared" si="30"/>
        <v>306320</v>
      </c>
      <c r="S92" s="43">
        <v>262750</v>
      </c>
      <c r="T92" s="46">
        <f>11203+27168</f>
        <v>38371</v>
      </c>
      <c r="U92" s="45">
        <f t="shared" si="31"/>
        <v>301121</v>
      </c>
      <c r="V92" s="24"/>
      <c r="W92" s="8"/>
      <c r="X92" s="29"/>
      <c r="Y92" s="69"/>
      <c r="Z92" s="39"/>
      <c r="AA92" s="40"/>
      <c r="AB92" s="40"/>
      <c r="AC92" s="41"/>
      <c r="AD92" s="42"/>
      <c r="AE92" s="1"/>
    </row>
    <row r="93" spans="1:45" ht="15" customHeight="1">
      <c r="A93" s="34" t="s">
        <v>227</v>
      </c>
      <c r="B93" s="34" t="s">
        <v>228</v>
      </c>
      <c r="C93" s="34" t="s">
        <v>228</v>
      </c>
      <c r="D93" s="49">
        <v>191760</v>
      </c>
      <c r="E93" s="91">
        <v>15346</v>
      </c>
      <c r="F93" s="45">
        <f t="shared" si="32"/>
        <v>207106</v>
      </c>
      <c r="G93" s="43" t="s">
        <v>14</v>
      </c>
      <c r="H93" s="46" t="s">
        <v>14</v>
      </c>
      <c r="I93" s="45">
        <v>212569</v>
      </c>
      <c r="J93" s="49">
        <v>202787</v>
      </c>
      <c r="K93" s="91">
        <f>10089+20786+11161</f>
        <v>42036</v>
      </c>
      <c r="L93" s="45">
        <f t="shared" si="28"/>
        <v>244823</v>
      </c>
      <c r="M93" s="43">
        <v>212569</v>
      </c>
      <c r="N93" s="44">
        <f>9358+21788+16096</f>
        <v>47242</v>
      </c>
      <c r="O93" s="45">
        <f t="shared" si="29"/>
        <v>259811</v>
      </c>
      <c r="P93" s="43">
        <v>222480</v>
      </c>
      <c r="Q93" s="46">
        <f>6727+20800+13930</f>
        <v>41457</v>
      </c>
      <c r="R93" s="45">
        <f t="shared" si="30"/>
        <v>263937</v>
      </c>
      <c r="S93" s="43">
        <v>234487</v>
      </c>
      <c r="T93" s="46">
        <f>6842+24401+16627</f>
        <v>47870</v>
      </c>
      <c r="U93" s="45">
        <f t="shared" si="31"/>
        <v>282357</v>
      </c>
      <c r="V93" s="24"/>
      <c r="W93" s="8"/>
      <c r="X93" s="29"/>
      <c r="AE93" s="1"/>
    </row>
    <row r="94" spans="1:45" ht="15" customHeight="1">
      <c r="A94" s="34" t="s">
        <v>229</v>
      </c>
      <c r="B94" s="34" t="s">
        <v>230</v>
      </c>
      <c r="C94" s="34" t="s">
        <v>231</v>
      </c>
      <c r="D94" s="43">
        <v>263735</v>
      </c>
      <c r="E94" s="44">
        <v>9565</v>
      </c>
      <c r="F94" s="45">
        <f t="shared" si="32"/>
        <v>273300</v>
      </c>
      <c r="G94" s="43" t="s">
        <v>14</v>
      </c>
      <c r="H94" s="46" t="s">
        <v>14</v>
      </c>
      <c r="I94" s="45">
        <v>296641</v>
      </c>
      <c r="J94" s="43">
        <v>263735</v>
      </c>
      <c r="K94" s="44">
        <f>25578+6960</f>
        <v>32538</v>
      </c>
      <c r="L94" s="45">
        <f t="shared" si="28"/>
        <v>296273</v>
      </c>
      <c r="M94" s="43">
        <v>202873</v>
      </c>
      <c r="N94" s="44">
        <f>18117+5354</f>
        <v>23471</v>
      </c>
      <c r="O94" s="45">
        <f t="shared" si="29"/>
        <v>226344</v>
      </c>
      <c r="P94" s="43">
        <v>284883</v>
      </c>
      <c r="Q94" s="46">
        <f>13725+29457</f>
        <v>43182</v>
      </c>
      <c r="R94" s="45">
        <f t="shared" si="30"/>
        <v>328065</v>
      </c>
      <c r="S94" s="43">
        <v>290538</v>
      </c>
      <c r="T94" s="46">
        <f>11644+30042</f>
        <v>41686</v>
      </c>
      <c r="U94" s="45">
        <f t="shared" si="31"/>
        <v>332224</v>
      </c>
      <c r="V94" s="24"/>
      <c r="W94" s="8"/>
      <c r="X94" s="29"/>
      <c r="Y94" s="69"/>
      <c r="Z94" s="39"/>
      <c r="AA94" s="40"/>
      <c r="AB94" s="40"/>
      <c r="AC94" s="41"/>
      <c r="AD94" s="42"/>
      <c r="AE94" s="1"/>
    </row>
    <row r="95" spans="1:45" ht="15" customHeight="1">
      <c r="A95" s="34" t="s">
        <v>232</v>
      </c>
      <c r="B95" s="34" t="s">
        <v>233</v>
      </c>
      <c r="C95" s="34" t="s">
        <v>234</v>
      </c>
      <c r="D95" s="43">
        <v>328870</v>
      </c>
      <c r="E95" s="44">
        <v>46493</v>
      </c>
      <c r="F95" s="45">
        <f t="shared" si="32"/>
        <v>375363</v>
      </c>
      <c r="G95" s="43" t="s">
        <v>14</v>
      </c>
      <c r="H95" s="46" t="s">
        <v>14</v>
      </c>
      <c r="I95" s="45">
        <v>455339</v>
      </c>
      <c r="J95" s="43">
        <v>328870</v>
      </c>
      <c r="K95" s="44">
        <f>33000+10146+32468+34976</f>
        <v>110590</v>
      </c>
      <c r="L95" s="45">
        <f t="shared" si="28"/>
        <v>439460</v>
      </c>
      <c r="M95" s="43">
        <v>328870</v>
      </c>
      <c r="N95" s="44">
        <f>33000+9986+32468+35586</f>
        <v>111040</v>
      </c>
      <c r="O95" s="45">
        <f t="shared" si="29"/>
        <v>439910</v>
      </c>
      <c r="P95" s="43">
        <v>332665</v>
      </c>
      <c r="Q95" s="46">
        <f>33000+8807+32847+36531</f>
        <v>111185</v>
      </c>
      <c r="R95" s="45">
        <f t="shared" si="30"/>
        <v>443850</v>
      </c>
      <c r="S95" s="43">
        <v>292425</v>
      </c>
      <c r="T95" s="46">
        <f>10659+33387+52637</f>
        <v>96683</v>
      </c>
      <c r="U95" s="45">
        <f t="shared" si="31"/>
        <v>389108</v>
      </c>
      <c r="V95" s="24"/>
      <c r="W95" s="8"/>
      <c r="X95" s="29"/>
      <c r="Y95" s="69"/>
      <c r="Z95" s="39"/>
      <c r="AA95" s="40"/>
      <c r="AB95" s="40"/>
      <c r="AC95" s="41"/>
      <c r="AD95" s="42"/>
      <c r="AE95" s="1"/>
    </row>
    <row r="96" spans="1:45" ht="15" customHeight="1">
      <c r="A96" s="34" t="s">
        <v>235</v>
      </c>
      <c r="B96" s="34" t="s">
        <v>236</v>
      </c>
      <c r="C96" s="34" t="s">
        <v>237</v>
      </c>
      <c r="D96" s="43">
        <v>200000</v>
      </c>
      <c r="E96" s="44">
        <v>8593</v>
      </c>
      <c r="F96" s="45">
        <f t="shared" si="32"/>
        <v>208593</v>
      </c>
      <c r="G96" s="43" t="s">
        <v>14</v>
      </c>
      <c r="H96" s="46" t="s">
        <v>14</v>
      </c>
      <c r="I96" s="45">
        <v>225601</v>
      </c>
      <c r="J96" s="43">
        <v>199794</v>
      </c>
      <c r="K96" s="44">
        <f>5364+14132</f>
        <v>19496</v>
      </c>
      <c r="L96" s="45">
        <f t="shared" si="28"/>
        <v>219290</v>
      </c>
      <c r="M96" s="43">
        <v>84031</v>
      </c>
      <c r="N96" s="44">
        <f>6111+8608</f>
        <v>14719</v>
      </c>
      <c r="O96" s="45">
        <f t="shared" si="29"/>
        <v>98750</v>
      </c>
      <c r="P96" s="43">
        <v>283599</v>
      </c>
      <c r="Q96" s="46">
        <f>12609+29319</f>
        <v>41928</v>
      </c>
      <c r="R96" s="45">
        <f t="shared" si="30"/>
        <v>325527</v>
      </c>
      <c r="S96" s="43">
        <v>285872</v>
      </c>
      <c r="T96" s="46">
        <f>12182+29440</f>
        <v>41622</v>
      </c>
      <c r="U96" s="45">
        <f t="shared" si="31"/>
        <v>327494</v>
      </c>
      <c r="V96" s="24"/>
      <c r="W96" s="8"/>
      <c r="X96" s="29"/>
      <c r="AE96" s="1"/>
    </row>
    <row r="97" spans="1:45" ht="15" customHeight="1">
      <c r="A97" s="34" t="s">
        <v>238</v>
      </c>
      <c r="B97" s="34" t="s">
        <v>239</v>
      </c>
      <c r="C97" s="34" t="s">
        <v>239</v>
      </c>
      <c r="D97" s="43">
        <v>378000</v>
      </c>
      <c r="E97" s="44">
        <v>59118</v>
      </c>
      <c r="F97" s="45">
        <f t="shared" si="32"/>
        <v>437118</v>
      </c>
      <c r="G97" s="43" t="s">
        <v>14</v>
      </c>
      <c r="H97" s="46" t="s">
        <v>14</v>
      </c>
      <c r="I97" s="45">
        <v>367152</v>
      </c>
      <c r="J97" s="43">
        <v>470000</v>
      </c>
      <c r="K97" s="44">
        <f>11281+46065+68502</f>
        <v>125848</v>
      </c>
      <c r="L97" s="45">
        <f t="shared" si="28"/>
        <v>595848</v>
      </c>
      <c r="M97" s="43">
        <v>470000</v>
      </c>
      <c r="N97" s="44">
        <f>11931+46051+73791</f>
        <v>131773</v>
      </c>
      <c r="O97" s="45">
        <f t="shared" si="29"/>
        <v>601773</v>
      </c>
      <c r="P97" s="43">
        <v>475483</v>
      </c>
      <c r="Q97" s="46">
        <f>12372+46572+70798</f>
        <v>129742</v>
      </c>
      <c r="R97" s="45">
        <f t="shared" si="30"/>
        <v>605225</v>
      </c>
      <c r="S97" s="43">
        <v>479400</v>
      </c>
      <c r="T97" s="46">
        <f>12374+46933+73005</f>
        <v>132312</v>
      </c>
      <c r="U97" s="45">
        <f t="shared" si="31"/>
        <v>611712</v>
      </c>
      <c r="V97" s="24"/>
      <c r="W97" s="8"/>
      <c r="X97" s="29"/>
      <c r="Y97" s="69"/>
      <c r="Z97" s="39"/>
      <c r="AA97" s="40"/>
      <c r="AB97" s="40"/>
      <c r="AC97" s="41"/>
      <c r="AD97" s="42"/>
      <c r="AE97" s="1"/>
    </row>
    <row r="98" spans="1:45" ht="15" customHeight="1">
      <c r="A98" s="34" t="s">
        <v>240</v>
      </c>
      <c r="B98" s="34" t="s">
        <v>241</v>
      </c>
      <c r="C98" s="34" t="s">
        <v>242</v>
      </c>
      <c r="D98" s="43">
        <v>185635</v>
      </c>
      <c r="E98" s="44">
        <v>26441</v>
      </c>
      <c r="F98" s="45">
        <f t="shared" si="32"/>
        <v>212076</v>
      </c>
      <c r="G98" s="43" t="s">
        <v>14</v>
      </c>
      <c r="H98" s="46" t="s">
        <v>14</v>
      </c>
      <c r="I98" s="45">
        <v>312906</v>
      </c>
      <c r="J98" s="43">
        <v>262500</v>
      </c>
      <c r="K98" s="44">
        <f>8635+25141+20192</f>
        <v>53968</v>
      </c>
      <c r="L98" s="45">
        <f t="shared" si="28"/>
        <v>316468</v>
      </c>
      <c r="M98" s="43">
        <v>275255</v>
      </c>
      <c r="N98" s="44">
        <f>8258+27364+15016</f>
        <v>50638</v>
      </c>
      <c r="O98" s="45">
        <f t="shared" si="29"/>
        <v>325893</v>
      </c>
      <c r="P98" s="43">
        <v>260400</v>
      </c>
      <c r="Q98" s="46">
        <f>8438+19973+6046</f>
        <v>34457</v>
      </c>
      <c r="R98" s="45">
        <f t="shared" si="30"/>
        <v>294857</v>
      </c>
      <c r="S98" s="43">
        <v>274321</v>
      </c>
      <c r="T98" s="46">
        <f>8114+25578+8972</f>
        <v>42664</v>
      </c>
      <c r="U98" s="45">
        <f t="shared" si="31"/>
        <v>316985</v>
      </c>
      <c r="V98" s="24"/>
      <c r="W98" s="8"/>
      <c r="X98" s="29"/>
      <c r="Y98" s="69"/>
      <c r="Z98" s="39"/>
      <c r="AA98" s="40"/>
      <c r="AB98" s="40"/>
      <c r="AC98" s="41"/>
      <c r="AD98" s="42"/>
      <c r="AE98" s="1"/>
    </row>
    <row r="99" spans="1:45" ht="15" customHeight="1">
      <c r="A99" s="34" t="s">
        <v>243</v>
      </c>
      <c r="B99" s="34" t="s">
        <v>244</v>
      </c>
      <c r="C99" s="34" t="s">
        <v>245</v>
      </c>
      <c r="D99" s="49">
        <v>184800</v>
      </c>
      <c r="E99" s="91">
        <v>10132</v>
      </c>
      <c r="F99" s="45">
        <f t="shared" si="32"/>
        <v>194932</v>
      </c>
      <c r="G99" s="43" t="s">
        <v>14</v>
      </c>
      <c r="H99" s="46" t="s">
        <v>14</v>
      </c>
      <c r="I99" s="45" t="s">
        <v>14</v>
      </c>
      <c r="J99" s="49">
        <v>194533</v>
      </c>
      <c r="K99" s="91">
        <f>10343+19745+5349</f>
        <v>35437</v>
      </c>
      <c r="L99" s="45">
        <f t="shared" si="28"/>
        <v>229970</v>
      </c>
      <c r="M99" s="43">
        <v>210833</v>
      </c>
      <c r="N99" s="44">
        <f>9766+21610+10452</f>
        <v>41828</v>
      </c>
      <c r="O99" s="45">
        <f t="shared" si="29"/>
        <v>252661</v>
      </c>
      <c r="P99" s="43">
        <v>240542</v>
      </c>
      <c r="Q99" s="46">
        <f>10450+24872+12330</f>
        <v>47652</v>
      </c>
      <c r="R99" s="45">
        <f t="shared" si="30"/>
        <v>288194</v>
      </c>
      <c r="S99" s="43">
        <v>245928</v>
      </c>
      <c r="T99" s="46">
        <f>10368+25429+11403</f>
        <v>47200</v>
      </c>
      <c r="U99" s="45">
        <f t="shared" si="31"/>
        <v>293128</v>
      </c>
      <c r="V99" s="24"/>
      <c r="W99" s="8"/>
      <c r="X99" s="29"/>
      <c r="AE99" s="1"/>
    </row>
    <row r="100" spans="1:45" ht="15" customHeight="1">
      <c r="A100" s="34" t="s">
        <v>246</v>
      </c>
      <c r="B100" s="34" t="s">
        <v>247</v>
      </c>
      <c r="C100" s="34" t="s">
        <v>248</v>
      </c>
      <c r="D100" s="49">
        <v>262500</v>
      </c>
      <c r="E100" s="91">
        <v>7098</v>
      </c>
      <c r="F100" s="45">
        <f t="shared" si="32"/>
        <v>269598</v>
      </c>
      <c r="G100" s="43" t="s">
        <v>14</v>
      </c>
      <c r="H100" s="46" t="s">
        <v>14</v>
      </c>
      <c r="I100" s="45">
        <v>415246</v>
      </c>
      <c r="J100" s="49">
        <v>369602</v>
      </c>
      <c r="K100" s="91">
        <f>7442+46036+135</f>
        <v>53613</v>
      </c>
      <c r="L100" s="45">
        <f t="shared" si="28"/>
        <v>423215</v>
      </c>
      <c r="M100" s="43">
        <v>378388</v>
      </c>
      <c r="N100" s="44">
        <f>7318+47138+135</f>
        <v>54591</v>
      </c>
      <c r="O100" s="45">
        <f t="shared" si="29"/>
        <v>432979</v>
      </c>
      <c r="P100" s="43">
        <v>387848</v>
      </c>
      <c r="Q100" s="46">
        <f>7580+47633+146</f>
        <v>55359</v>
      </c>
      <c r="R100" s="45">
        <f t="shared" si="30"/>
        <v>443207</v>
      </c>
      <c r="S100" s="43">
        <v>230884</v>
      </c>
      <c r="T100" s="46">
        <f>7525+46737+166768</f>
        <v>221030</v>
      </c>
      <c r="U100" s="45">
        <f t="shared" si="31"/>
        <v>451914</v>
      </c>
      <c r="V100" s="24"/>
      <c r="W100" s="8"/>
      <c r="X100" s="29"/>
      <c r="Y100" s="69"/>
      <c r="Z100" s="39"/>
      <c r="AA100" s="40"/>
      <c r="AB100" s="40"/>
      <c r="AC100" s="41"/>
      <c r="AD100" s="42"/>
      <c r="AE100" s="1"/>
    </row>
    <row r="101" spans="1:45" ht="15" customHeight="1">
      <c r="A101" s="34" t="s">
        <v>249</v>
      </c>
      <c r="B101" s="34" t="s">
        <v>250</v>
      </c>
      <c r="C101" s="34" t="s">
        <v>251</v>
      </c>
      <c r="D101" s="49">
        <v>179512</v>
      </c>
      <c r="E101" s="91">
        <v>12545</v>
      </c>
      <c r="F101" s="45">
        <f t="shared" si="32"/>
        <v>192057</v>
      </c>
      <c r="G101" s="43" t="s">
        <v>14</v>
      </c>
      <c r="H101" s="46" t="s">
        <v>14</v>
      </c>
      <c r="I101" s="45">
        <v>255811</v>
      </c>
      <c r="J101" s="49">
        <v>187730</v>
      </c>
      <c r="K101" s="91">
        <f>11988+20774+31993</f>
        <v>64755</v>
      </c>
      <c r="L101" s="45">
        <f t="shared" si="28"/>
        <v>252485</v>
      </c>
      <c r="M101" s="43">
        <v>190004</v>
      </c>
      <c r="N101" s="44">
        <f>7380+21925+38356</f>
        <v>67661</v>
      </c>
      <c r="O101" s="45">
        <f t="shared" si="29"/>
        <v>257665</v>
      </c>
      <c r="P101" s="43">
        <v>167425</v>
      </c>
      <c r="Q101" s="46">
        <f>11848+17312</f>
        <v>29160</v>
      </c>
      <c r="R101" s="45">
        <f t="shared" si="30"/>
        <v>196585</v>
      </c>
      <c r="S101" s="43">
        <v>242490</v>
      </c>
      <c r="T101" s="46">
        <f>18227+25074</f>
        <v>43301</v>
      </c>
      <c r="U101" s="45">
        <f t="shared" si="31"/>
        <v>285791</v>
      </c>
      <c r="V101" s="24"/>
      <c r="W101" s="8"/>
      <c r="X101" s="29"/>
      <c r="AE101" s="1"/>
    </row>
    <row r="102" spans="1:45" ht="15" customHeight="1">
      <c r="A102" s="34"/>
      <c r="B102" s="34"/>
      <c r="C102" s="34"/>
      <c r="D102" s="106"/>
      <c r="E102" s="107"/>
      <c r="F102" s="106"/>
      <c r="G102" s="106"/>
      <c r="H102" s="106"/>
      <c r="I102" s="106"/>
      <c r="J102" s="106"/>
      <c r="K102" s="107"/>
      <c r="L102" s="108"/>
      <c r="M102" s="43"/>
      <c r="N102" s="44"/>
      <c r="O102" s="45"/>
      <c r="P102" s="24"/>
      <c r="Q102" s="8"/>
      <c r="R102" s="29"/>
      <c r="S102" s="24"/>
      <c r="T102" s="8"/>
      <c r="U102" s="29"/>
      <c r="V102" s="24"/>
      <c r="W102" s="8"/>
      <c r="X102" s="29"/>
      <c r="AE102" s="1"/>
    </row>
    <row r="103" spans="1:45" s="14" customFormat="1" ht="96" customHeight="1">
      <c r="A103" s="119" t="s">
        <v>252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9"/>
      <c r="M103" s="114"/>
      <c r="N103" s="115"/>
      <c r="O103" s="116"/>
      <c r="P103" s="114"/>
      <c r="Q103" s="115"/>
      <c r="R103" s="116"/>
      <c r="S103" s="114"/>
      <c r="T103" s="115"/>
      <c r="U103" s="116"/>
      <c r="V103" s="114"/>
      <c r="W103" s="115"/>
      <c r="X103" s="116"/>
      <c r="Y103" s="117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</row>
    <row r="104" spans="1:45" s="14" customFormat="1" ht="87" customHeight="1">
      <c r="A104" s="119" t="s">
        <v>253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9"/>
      <c r="M104" s="114"/>
      <c r="N104" s="115"/>
      <c r="O104" s="116"/>
      <c r="P104" s="114"/>
      <c r="Q104" s="115"/>
      <c r="R104" s="116"/>
      <c r="S104" s="114"/>
      <c r="T104" s="115"/>
      <c r="U104" s="116"/>
      <c r="V104" s="114"/>
      <c r="W104" s="115"/>
      <c r="X104" s="116"/>
      <c r="Y104" s="117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</row>
    <row r="105" spans="1:45" s="7" customFormat="1" ht="15" customHeight="1">
      <c r="A105" s="62"/>
      <c r="B105" s="115"/>
      <c r="C105" s="115"/>
      <c r="D105" s="114"/>
      <c r="E105" s="115"/>
      <c r="F105" s="116"/>
      <c r="G105" s="115"/>
      <c r="H105" s="115"/>
      <c r="I105" s="115"/>
      <c r="J105" s="114"/>
      <c r="K105" s="115"/>
      <c r="L105" s="116"/>
      <c r="M105" s="114"/>
      <c r="N105" s="115"/>
      <c r="O105" s="116"/>
      <c r="P105" s="114"/>
      <c r="Q105" s="115"/>
      <c r="R105" s="116"/>
      <c r="S105" s="114"/>
      <c r="T105" s="115"/>
      <c r="U105" s="116"/>
      <c r="V105" s="114"/>
      <c r="W105" s="115"/>
      <c r="X105" s="116"/>
      <c r="Y105" s="117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</row>
    <row r="106" spans="1:45" ht="15" customHeight="1">
      <c r="A106" s="118" t="s">
        <v>254</v>
      </c>
      <c r="AE106" s="1"/>
    </row>
    <row r="107" spans="1:45" ht="15" customHeight="1">
      <c r="A107" s="118"/>
      <c r="AE107" s="1"/>
    </row>
  </sheetData>
  <sortState xmlns:xlrd2="http://schemas.microsoft.com/office/spreadsheetml/2017/richdata2" ref="A90:AS101">
    <sortCondition ref="A90:A101"/>
  </sortState>
  <mergeCells count="16">
    <mergeCell ref="A104:L104"/>
    <mergeCell ref="G5:I5"/>
    <mergeCell ref="V5:X5"/>
    <mergeCell ref="J5:L5"/>
    <mergeCell ref="M5:O5"/>
    <mergeCell ref="P5:R5"/>
    <mergeCell ref="S5:U5"/>
    <mergeCell ref="A82:E82"/>
    <mergeCell ref="A24:E24"/>
    <mergeCell ref="A89:E89"/>
    <mergeCell ref="A5:A6"/>
    <mergeCell ref="A7:E7"/>
    <mergeCell ref="A43:E43"/>
    <mergeCell ref="A75:E75"/>
    <mergeCell ref="D5:F5"/>
    <mergeCell ref="A103:L103"/>
  </mergeCells>
  <phoneticPr fontId="0" type="noConversion"/>
  <hyperlinks>
    <hyperlink ref="S8" r:id="rId1" display="xxx" xr:uid="{FDDF4C3A-1796-40BA-9EA0-297755F881FF}"/>
    <hyperlink ref="S34" r:id="rId2" display="file://fileserver/Users/lachance/Downloads/137-20211130.pdf" xr:uid="{303D14D9-0A03-426C-A03B-4C8D86A76ABC}"/>
    <hyperlink ref="S33" r:id="rId3" display="file://fileserver/Users/lachance/Downloads/135-20211130.pdf" xr:uid="{9DA6FAA2-8FB0-4C38-9E3D-7E2A131D6DBF}"/>
    <hyperlink ref="S35" r:id="rId4" display="\\fileserver\Users\lachance\Downloads\134-20211130.pdf" xr:uid="{4DE274F9-5ECD-4EF6-A441-3F72E644B434}"/>
    <hyperlink ref="S76" r:id="rId5" display="https://leadership.usask.ca/documents/president/president-contract-2020-ps-sb-cw-signed.pdf" xr:uid="{227AAF07-B8D3-489A-BCFB-DE23E7AAA7DA}"/>
    <hyperlink ref="A78" r:id="rId6" xr:uid="{FB28DD0F-CA6E-4304-8C74-68E361727D93}"/>
    <hyperlink ref="A79" r:id="rId7" xr:uid="{6C7BDADA-00C0-4CF2-9B5D-D425FC5DAEDB}"/>
    <hyperlink ref="S86" r:id="rId8" display="https://www.athabascau.ca/university-secretariat/_documents/board-of-governors/governance-documents/president-contract-2020-2021.pdf" xr:uid="{E639831C-10DA-4A92-A41B-D23D7B3B54D1}"/>
    <hyperlink ref="A82:E82" r:id="rId9" display="Alberta" xr:uid="{9E3380F6-4383-4408-8190-00C885D6CA4D}"/>
    <hyperlink ref="B88" r:id="rId10" xr:uid="{7DCDA30E-8833-43FF-BE98-A9BC8E495367}"/>
    <hyperlink ref="C84" r:id="rId11" xr:uid="{B01D83E1-43B3-4987-95E6-B8A5C59387C0}"/>
    <hyperlink ref="B85" r:id="rId12" xr:uid="{4B46439D-6795-4CF7-92A2-55B37D07B95A}"/>
    <hyperlink ref="C86" r:id="rId13" xr:uid="{683609CF-D0ED-4E66-84C6-27DB7DF359AD}"/>
    <hyperlink ref="C88" r:id="rId14" xr:uid="{6C0D3F7E-851B-4CD2-AC8A-F73DDBE52607}"/>
    <hyperlink ref="B84" r:id="rId15" xr:uid="{682A8E2D-2508-48CA-B0E9-F77AF25B122B}"/>
    <hyperlink ref="C11" r:id="rId16" xr:uid="{3C3A3A31-C3B6-4FE3-8D2C-54C12C1B0775}"/>
  </hyperlinks>
  <pageMargins left="0.75" right="0.75" top="1" bottom="1" header="0.5" footer="0.5"/>
  <pageSetup paperSize="17" fitToHeight="0" orientation="landscape" r:id="rId17"/>
  <headerFooter alignWithMargins="0"/>
  <drawing r:id="rId18"/>
  <legacy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C77DE466F9640B33C85DC5E393998" ma:contentTypeVersion="6" ma:contentTypeDescription="Create a new document." ma:contentTypeScope="" ma:versionID="ef9824bd32c7cf047025226d2c14de3b">
  <xsd:schema xmlns:xsd="http://www.w3.org/2001/XMLSchema" xmlns:xs="http://www.w3.org/2001/XMLSchema" xmlns:p="http://schemas.microsoft.com/office/2006/metadata/properties" xmlns:ns2="14e16b70-ab8a-46ad-9564-b07735a7431d" xmlns:ns3="ab226b7d-2fc3-4df7-a462-710f1dcbdb42" targetNamespace="http://schemas.microsoft.com/office/2006/metadata/properties" ma:root="true" ma:fieldsID="c13d414c3ab1f1c5e4ffcbaa2e0cde9e" ns2:_="" ns3:_="">
    <xsd:import namespace="14e16b70-ab8a-46ad-9564-b07735a7431d"/>
    <xsd:import namespace="ab226b7d-2fc3-4df7-a462-710f1dcbd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16b70-ab8a-46ad-9564-b07735a74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26b7d-2fc3-4df7-a462-710f1dcbd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7D0CC-0235-4D67-A717-D760A112F0E9}"/>
</file>

<file path=customXml/itemProps2.xml><?xml version="1.0" encoding="utf-8"?>
<ds:datastoreItem xmlns:ds="http://schemas.openxmlformats.org/officeDocument/2006/customXml" ds:itemID="{207ABC94-357C-4117-98CD-F3347254DB3C}"/>
</file>

<file path=customXml/itemProps3.xml><?xml version="1.0" encoding="utf-8"?>
<ds:datastoreItem xmlns:ds="http://schemas.openxmlformats.org/officeDocument/2006/customXml" ds:itemID="{6639F555-721D-43F9-9C9E-FD7B988FF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CAUT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Dufay</dc:creator>
  <cp:keywords/>
  <dc:description/>
  <cp:lastModifiedBy>Caroline Lachance</cp:lastModifiedBy>
  <cp:revision/>
  <dcterms:created xsi:type="dcterms:W3CDTF">2004-02-05T19:24:04Z</dcterms:created>
  <dcterms:modified xsi:type="dcterms:W3CDTF">2022-06-30T15:42:48Z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0x010100122C77DE466F9640B33C85DC5E393998</vt:lpwstr>
  </property>
  <property fmtid="{D5CDD505-2E9C-101B-9397-08002B2CF9AE}" pid="3" name="MSIP_Label_bd3968e8-c45d-45f4-aba1-48bd0eaca326_Enabled">
    <vt:lpwstr>true</vt:lpwstr>
  </property>
  <property fmtid="{D5CDD505-2E9C-101B-9397-08002B2CF9AE}" pid="4" name="MSIP_Label_bd3968e8-c45d-45f4-aba1-48bd0eaca326_SetDate">
    <vt:lpwstr>2022-06-27T13:41:48Z</vt:lpwstr>
  </property>
  <property fmtid="{D5CDD505-2E9C-101B-9397-08002B2CF9AE}" pid="5" name="MSIP_Label_bd3968e8-c45d-45f4-aba1-48bd0eaca326_Method">
    <vt:lpwstr>Standard</vt:lpwstr>
  </property>
  <property fmtid="{D5CDD505-2E9C-101B-9397-08002B2CF9AE}" pid="6" name="MSIP_Label_bd3968e8-c45d-45f4-aba1-48bd0eaca326_Name">
    <vt:lpwstr>General</vt:lpwstr>
  </property>
  <property fmtid="{D5CDD505-2E9C-101B-9397-08002B2CF9AE}" pid="7" name="MSIP_Label_bd3968e8-c45d-45f4-aba1-48bd0eaca326_SiteId">
    <vt:lpwstr>d532e20f-5090-4383-a7b9-aa5204b87eed</vt:lpwstr>
  </property>
  <property fmtid="{D5CDD505-2E9C-101B-9397-08002B2CF9AE}" pid="8" name="MSIP_Label_bd3968e8-c45d-45f4-aba1-48bd0eaca326_ActionId">
    <vt:lpwstr>3d2589c2-5a97-47d8-bdcb-709f4b2a109a</vt:lpwstr>
  </property>
  <property fmtid="{D5CDD505-2E9C-101B-9397-08002B2CF9AE}" pid="9" name="MSIP_Label_bd3968e8-c45d-45f4-aba1-48bd0eaca326_ContentBits">
    <vt:lpwstr>0</vt:lpwstr>
  </property>
</Properties>
</file>